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OneDrive - Lethbridge Fish and Game\Desktop\LFGA\LFGA 2024\"/>
    </mc:Choice>
  </mc:AlternateContent>
  <xr:revisionPtr revIDLastSave="0" documentId="8_{B24568FF-85AC-41A6-9CAB-A73D53CAEB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fit and Loss by Cla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3" i="1" l="1"/>
  <c r="O102" i="1"/>
  <c r="L100" i="1"/>
  <c r="J100" i="1"/>
  <c r="I100" i="1"/>
  <c r="H100" i="1"/>
  <c r="G100" i="1"/>
  <c r="B100" i="1"/>
  <c r="D100" i="1" s="1"/>
  <c r="K99" i="1"/>
  <c r="D99" i="1"/>
  <c r="O99" i="1" s="1"/>
  <c r="K98" i="1"/>
  <c r="D98" i="1"/>
  <c r="O98" i="1" s="1"/>
  <c r="K97" i="1"/>
  <c r="O97" i="1" s="1"/>
  <c r="D97" i="1"/>
  <c r="N96" i="1"/>
  <c r="N100" i="1" s="1"/>
  <c r="M96" i="1"/>
  <c r="F96" i="1"/>
  <c r="K96" i="1" s="1"/>
  <c r="C96" i="1"/>
  <c r="C100" i="1" s="1"/>
  <c r="M95" i="1"/>
  <c r="E95" i="1"/>
  <c r="K95" i="1" s="1"/>
  <c r="O95" i="1" s="1"/>
  <c r="D95" i="1"/>
  <c r="K94" i="1"/>
  <c r="D94" i="1"/>
  <c r="O94" i="1" s="1"/>
  <c r="M93" i="1"/>
  <c r="M100" i="1" s="1"/>
  <c r="E93" i="1"/>
  <c r="E100" i="1" s="1"/>
  <c r="D93" i="1"/>
  <c r="N91" i="1"/>
  <c r="M91" i="1"/>
  <c r="J91" i="1"/>
  <c r="I91" i="1"/>
  <c r="H91" i="1"/>
  <c r="G91" i="1"/>
  <c r="F91" i="1"/>
  <c r="B91" i="1"/>
  <c r="O90" i="1"/>
  <c r="K90" i="1"/>
  <c r="D90" i="1"/>
  <c r="N89" i="1"/>
  <c r="M89" i="1"/>
  <c r="K89" i="1"/>
  <c r="O89" i="1" s="1"/>
  <c r="D89" i="1"/>
  <c r="E88" i="1"/>
  <c r="E91" i="1" s="1"/>
  <c r="K91" i="1" s="1"/>
  <c r="C88" i="1"/>
  <c r="D88" i="1" s="1"/>
  <c r="K87" i="1"/>
  <c r="C87" i="1"/>
  <c r="D87" i="1" s="1"/>
  <c r="O87" i="1" s="1"/>
  <c r="K86" i="1"/>
  <c r="O86" i="1" s="1"/>
  <c r="D86" i="1"/>
  <c r="L85" i="1"/>
  <c r="L91" i="1" s="1"/>
  <c r="K85" i="1"/>
  <c r="D85" i="1"/>
  <c r="O85" i="1" s="1"/>
  <c r="C83" i="1"/>
  <c r="K82" i="1"/>
  <c r="D82" i="1"/>
  <c r="O82" i="1" s="1"/>
  <c r="K81" i="1"/>
  <c r="O81" i="1" s="1"/>
  <c r="D81" i="1"/>
  <c r="K80" i="1"/>
  <c r="D80" i="1"/>
  <c r="O80" i="1" s="1"/>
  <c r="K79" i="1"/>
  <c r="O79" i="1" s="1"/>
  <c r="D79" i="1"/>
  <c r="K78" i="1"/>
  <c r="D78" i="1"/>
  <c r="O78" i="1" s="1"/>
  <c r="K77" i="1"/>
  <c r="O77" i="1" s="1"/>
  <c r="D77" i="1"/>
  <c r="K76" i="1"/>
  <c r="D76" i="1"/>
  <c r="O76" i="1" s="1"/>
  <c r="K75" i="1"/>
  <c r="O75" i="1" s="1"/>
  <c r="D75" i="1"/>
  <c r="K74" i="1"/>
  <c r="D74" i="1"/>
  <c r="O74" i="1" s="1"/>
  <c r="K73" i="1"/>
  <c r="O73" i="1" s="1"/>
  <c r="D73" i="1"/>
  <c r="K72" i="1"/>
  <c r="D72" i="1"/>
  <c r="O72" i="1" s="1"/>
  <c r="K71" i="1"/>
  <c r="O71" i="1" s="1"/>
  <c r="D71" i="1"/>
  <c r="K70" i="1"/>
  <c r="D70" i="1"/>
  <c r="O70" i="1" s="1"/>
  <c r="M69" i="1"/>
  <c r="O69" i="1" s="1"/>
  <c r="K69" i="1"/>
  <c r="D69" i="1"/>
  <c r="M68" i="1"/>
  <c r="L68" i="1"/>
  <c r="K68" i="1"/>
  <c r="H68" i="1"/>
  <c r="E68" i="1"/>
  <c r="D68" i="1"/>
  <c r="M67" i="1"/>
  <c r="K67" i="1"/>
  <c r="O67" i="1" s="1"/>
  <c r="I67" i="1"/>
  <c r="E67" i="1"/>
  <c r="D67" i="1"/>
  <c r="M66" i="1"/>
  <c r="L66" i="1"/>
  <c r="I66" i="1"/>
  <c r="K66" i="1" s="1"/>
  <c r="C66" i="1"/>
  <c r="D66" i="1" s="1"/>
  <c r="O66" i="1" s="1"/>
  <c r="M65" i="1"/>
  <c r="O65" i="1" s="1"/>
  <c r="K65" i="1"/>
  <c r="D65" i="1"/>
  <c r="M64" i="1"/>
  <c r="I64" i="1"/>
  <c r="K64" i="1" s="1"/>
  <c r="O64" i="1" s="1"/>
  <c r="E64" i="1"/>
  <c r="D64" i="1"/>
  <c r="M63" i="1"/>
  <c r="L63" i="1"/>
  <c r="K63" i="1"/>
  <c r="O63" i="1" s="1"/>
  <c r="I63" i="1"/>
  <c r="E63" i="1"/>
  <c r="D63" i="1"/>
  <c r="M62" i="1"/>
  <c r="L62" i="1"/>
  <c r="K62" i="1"/>
  <c r="C62" i="1"/>
  <c r="D62" i="1" s="1"/>
  <c r="O62" i="1" s="1"/>
  <c r="M61" i="1"/>
  <c r="K61" i="1"/>
  <c r="O61" i="1" s="1"/>
  <c r="J61" i="1"/>
  <c r="E61" i="1"/>
  <c r="D61" i="1"/>
  <c r="J60" i="1"/>
  <c r="K60" i="1" s="1"/>
  <c r="O60" i="1" s="1"/>
  <c r="E60" i="1"/>
  <c r="D60" i="1"/>
  <c r="M59" i="1"/>
  <c r="I59" i="1"/>
  <c r="K59" i="1" s="1"/>
  <c r="O59" i="1" s="1"/>
  <c r="F59" i="1"/>
  <c r="E59" i="1"/>
  <c r="D59" i="1"/>
  <c r="N58" i="1"/>
  <c r="M58" i="1"/>
  <c r="L58" i="1"/>
  <c r="J58" i="1"/>
  <c r="I58" i="1"/>
  <c r="H58" i="1"/>
  <c r="G58" i="1"/>
  <c r="C58" i="1"/>
  <c r="B58" i="1"/>
  <c r="D58" i="1" s="1"/>
  <c r="J57" i="1"/>
  <c r="F57" i="1"/>
  <c r="F58" i="1" s="1"/>
  <c r="E57" i="1"/>
  <c r="K57" i="1" s="1"/>
  <c r="O57" i="1" s="1"/>
  <c r="D57" i="1"/>
  <c r="J56" i="1"/>
  <c r="K56" i="1" s="1"/>
  <c r="O56" i="1" s="1"/>
  <c r="D56" i="1"/>
  <c r="M55" i="1"/>
  <c r="K55" i="1"/>
  <c r="O55" i="1" s="1"/>
  <c r="D55" i="1"/>
  <c r="M54" i="1"/>
  <c r="L54" i="1"/>
  <c r="I54" i="1"/>
  <c r="K54" i="1" s="1"/>
  <c r="C54" i="1"/>
  <c r="D54" i="1" s="1"/>
  <c r="O54" i="1" s="1"/>
  <c r="M53" i="1"/>
  <c r="K53" i="1"/>
  <c r="D53" i="1"/>
  <c r="O53" i="1" s="1"/>
  <c r="M52" i="1"/>
  <c r="F52" i="1"/>
  <c r="E52" i="1"/>
  <c r="K52" i="1" s="1"/>
  <c r="D52" i="1"/>
  <c r="O52" i="1" s="1"/>
  <c r="E51" i="1"/>
  <c r="K51" i="1" s="1"/>
  <c r="D51" i="1"/>
  <c r="O51" i="1" s="1"/>
  <c r="L50" i="1"/>
  <c r="G50" i="1"/>
  <c r="K50" i="1" s="1"/>
  <c r="O50" i="1" s="1"/>
  <c r="D50" i="1"/>
  <c r="M49" i="1"/>
  <c r="K49" i="1"/>
  <c r="O49" i="1" s="1"/>
  <c r="D49" i="1"/>
  <c r="N48" i="1"/>
  <c r="N83" i="1" s="1"/>
  <c r="M48" i="1"/>
  <c r="L48" i="1"/>
  <c r="J48" i="1"/>
  <c r="I48" i="1"/>
  <c r="H48" i="1"/>
  <c r="H83" i="1" s="1"/>
  <c r="F48" i="1"/>
  <c r="E48" i="1"/>
  <c r="C48" i="1"/>
  <c r="B48" i="1"/>
  <c r="B83" i="1" s="1"/>
  <c r="D83" i="1" s="1"/>
  <c r="G47" i="1"/>
  <c r="K47" i="1" s="1"/>
  <c r="O47" i="1" s="1"/>
  <c r="D47" i="1"/>
  <c r="G46" i="1"/>
  <c r="K46" i="1" s="1"/>
  <c r="D46" i="1"/>
  <c r="O46" i="1" s="1"/>
  <c r="O45" i="1"/>
  <c r="G45" i="1"/>
  <c r="K45" i="1" s="1"/>
  <c r="D45" i="1"/>
  <c r="G44" i="1"/>
  <c r="D44" i="1"/>
  <c r="M43" i="1"/>
  <c r="L43" i="1"/>
  <c r="K43" i="1"/>
  <c r="D43" i="1"/>
  <c r="O43" i="1" s="1"/>
  <c r="F42" i="1"/>
  <c r="K42" i="1" s="1"/>
  <c r="D42" i="1"/>
  <c r="O42" i="1" s="1"/>
  <c r="M41" i="1"/>
  <c r="J41" i="1"/>
  <c r="E41" i="1"/>
  <c r="K41" i="1" s="1"/>
  <c r="D41" i="1"/>
  <c r="L40" i="1"/>
  <c r="E40" i="1"/>
  <c r="K40" i="1" s="1"/>
  <c r="O40" i="1" s="1"/>
  <c r="D40" i="1"/>
  <c r="J39" i="1"/>
  <c r="D39" i="1"/>
  <c r="M38" i="1"/>
  <c r="L38" i="1"/>
  <c r="L83" i="1" s="1"/>
  <c r="I38" i="1"/>
  <c r="K38" i="1" s="1"/>
  <c r="E38" i="1"/>
  <c r="D38" i="1"/>
  <c r="O38" i="1" s="1"/>
  <c r="G36" i="1"/>
  <c r="F36" i="1"/>
  <c r="N35" i="1"/>
  <c r="M35" i="1"/>
  <c r="L35" i="1"/>
  <c r="J35" i="1"/>
  <c r="I35" i="1"/>
  <c r="H35" i="1"/>
  <c r="G35" i="1"/>
  <c r="F35" i="1"/>
  <c r="E35" i="1"/>
  <c r="C35" i="1"/>
  <c r="B35" i="1"/>
  <c r="K34" i="1"/>
  <c r="D34" i="1"/>
  <c r="O34" i="1" s="1"/>
  <c r="K33" i="1"/>
  <c r="D33" i="1"/>
  <c r="O33" i="1" s="1"/>
  <c r="J31" i="1"/>
  <c r="J36" i="1" s="1"/>
  <c r="H31" i="1"/>
  <c r="G31" i="1"/>
  <c r="F31" i="1"/>
  <c r="D31" i="1"/>
  <c r="B31" i="1"/>
  <c r="K30" i="1"/>
  <c r="D30" i="1"/>
  <c r="O30" i="1" s="1"/>
  <c r="O29" i="1"/>
  <c r="K29" i="1"/>
  <c r="D29" i="1"/>
  <c r="K28" i="1"/>
  <c r="D28" i="1"/>
  <c r="O28" i="1" s="1"/>
  <c r="O27" i="1"/>
  <c r="K27" i="1"/>
  <c r="D27" i="1"/>
  <c r="K26" i="1"/>
  <c r="D26" i="1"/>
  <c r="O26" i="1" s="1"/>
  <c r="O25" i="1"/>
  <c r="K25" i="1"/>
  <c r="D25" i="1"/>
  <c r="K24" i="1"/>
  <c r="D24" i="1"/>
  <c r="O24" i="1" s="1"/>
  <c r="O23" i="1"/>
  <c r="K23" i="1"/>
  <c r="D23" i="1"/>
  <c r="K22" i="1"/>
  <c r="D22" i="1"/>
  <c r="O22" i="1" s="1"/>
  <c r="O21" i="1"/>
  <c r="K21" i="1"/>
  <c r="D21" i="1"/>
  <c r="K20" i="1"/>
  <c r="D20" i="1"/>
  <c r="O20" i="1" s="1"/>
  <c r="O19" i="1"/>
  <c r="K19" i="1"/>
  <c r="D19" i="1"/>
  <c r="K18" i="1"/>
  <c r="D18" i="1"/>
  <c r="O18" i="1" s="1"/>
  <c r="O17" i="1"/>
  <c r="L17" i="1"/>
  <c r="K17" i="1"/>
  <c r="D17" i="1"/>
  <c r="M16" i="1"/>
  <c r="K16" i="1"/>
  <c r="O16" i="1" s="1"/>
  <c r="F16" i="1"/>
  <c r="D16" i="1"/>
  <c r="M15" i="1"/>
  <c r="I15" i="1"/>
  <c r="K15" i="1" s="1"/>
  <c r="O15" i="1" s="1"/>
  <c r="E15" i="1"/>
  <c r="D15" i="1"/>
  <c r="M14" i="1"/>
  <c r="L14" i="1"/>
  <c r="K14" i="1"/>
  <c r="O14" i="1" s="1"/>
  <c r="D14" i="1"/>
  <c r="M13" i="1"/>
  <c r="E13" i="1"/>
  <c r="K13" i="1" s="1"/>
  <c r="D13" i="1"/>
  <c r="O13" i="1" s="1"/>
  <c r="N12" i="1"/>
  <c r="N31" i="1" s="1"/>
  <c r="N36" i="1" s="1"/>
  <c r="M12" i="1"/>
  <c r="L12" i="1"/>
  <c r="L31" i="1" s="1"/>
  <c r="L36" i="1" s="1"/>
  <c r="L101" i="1" s="1"/>
  <c r="K12" i="1"/>
  <c r="D12" i="1"/>
  <c r="O12" i="1" s="1"/>
  <c r="C12" i="1"/>
  <c r="C31" i="1" s="1"/>
  <c r="C36" i="1" s="1"/>
  <c r="M11" i="1"/>
  <c r="K11" i="1"/>
  <c r="D11" i="1"/>
  <c r="O11" i="1" s="1"/>
  <c r="M10" i="1"/>
  <c r="J10" i="1"/>
  <c r="I10" i="1"/>
  <c r="E10" i="1"/>
  <c r="K10" i="1" s="1"/>
  <c r="D10" i="1"/>
  <c r="O10" i="1" s="1"/>
  <c r="M9" i="1"/>
  <c r="K9" i="1"/>
  <c r="D9" i="1"/>
  <c r="O9" i="1" s="1"/>
  <c r="M8" i="1"/>
  <c r="M31" i="1" s="1"/>
  <c r="M36" i="1" s="1"/>
  <c r="L8" i="1"/>
  <c r="F8" i="1"/>
  <c r="E8" i="1"/>
  <c r="K8" i="1" s="1"/>
  <c r="D8" i="1"/>
  <c r="M7" i="1"/>
  <c r="J7" i="1"/>
  <c r="K7" i="1" s="1"/>
  <c r="O7" i="1" s="1"/>
  <c r="D7" i="1"/>
  <c r="K100" i="1" l="1"/>
  <c r="O100" i="1" s="1"/>
  <c r="K35" i="1"/>
  <c r="H36" i="1"/>
  <c r="H101" i="1" s="1"/>
  <c r="M83" i="1"/>
  <c r="M101" i="1" s="1"/>
  <c r="D91" i="1"/>
  <c r="O91" i="1" s="1"/>
  <c r="J101" i="1"/>
  <c r="J83" i="1"/>
  <c r="K39" i="1"/>
  <c r="O39" i="1" s="1"/>
  <c r="E83" i="1"/>
  <c r="O88" i="1"/>
  <c r="I31" i="1"/>
  <c r="I36" i="1" s="1"/>
  <c r="N101" i="1"/>
  <c r="G48" i="1"/>
  <c r="K44" i="1"/>
  <c r="O44" i="1" s="1"/>
  <c r="O8" i="1"/>
  <c r="B36" i="1"/>
  <c r="D35" i="1"/>
  <c r="O35" i="1" s="1"/>
  <c r="O58" i="1"/>
  <c r="O68" i="1"/>
  <c r="I83" i="1"/>
  <c r="O41" i="1"/>
  <c r="F100" i="1"/>
  <c r="C91" i="1"/>
  <c r="C101" i="1" s="1"/>
  <c r="F83" i="1"/>
  <c r="F101" i="1" s="1"/>
  <c r="K88" i="1"/>
  <c r="E58" i="1"/>
  <c r="K58" i="1" s="1"/>
  <c r="D48" i="1"/>
  <c r="K93" i="1"/>
  <c r="O93" i="1" s="1"/>
  <c r="D96" i="1"/>
  <c r="O96" i="1" s="1"/>
  <c r="E31" i="1"/>
  <c r="G83" i="1" l="1"/>
  <c r="G101" i="1" s="1"/>
  <c r="K48" i="1"/>
  <c r="I101" i="1"/>
  <c r="O48" i="1"/>
  <c r="B101" i="1"/>
  <c r="D101" i="1" s="1"/>
  <c r="D36" i="1"/>
  <c r="E36" i="1"/>
  <c r="K31" i="1"/>
  <c r="O31" i="1" s="1"/>
  <c r="K36" i="1" l="1"/>
  <c r="E101" i="1"/>
  <c r="K101" i="1" s="1"/>
  <c r="K83" i="1"/>
  <c r="O83" i="1" s="1"/>
  <c r="O36" i="1"/>
  <c r="O101" i="1"/>
</calcChain>
</file>

<file path=xl/sharedStrings.xml><?xml version="1.0" encoding="utf-8"?>
<sst xmlns="http://schemas.openxmlformats.org/spreadsheetml/2006/main" count="115" uniqueCount="112">
  <si>
    <t>Allocated Funds</t>
  </si>
  <si>
    <t>Archery</t>
  </si>
  <si>
    <t>Total Allocated Funds</t>
  </si>
  <si>
    <t>LFGA Operating</t>
  </si>
  <si>
    <t>Banquet</t>
  </si>
  <si>
    <t>Conference</t>
  </si>
  <si>
    <t>Executive</t>
  </si>
  <si>
    <t>Hut</t>
  </si>
  <si>
    <t>Memberships</t>
  </si>
  <si>
    <t>Total LFGA Operating</t>
  </si>
  <si>
    <t>Programs</t>
  </si>
  <si>
    <t>Range Operating</t>
  </si>
  <si>
    <t>Sustainability (deleted)</t>
  </si>
  <si>
    <t>TOTAL</t>
  </si>
  <si>
    <t xml:space="preserve">   INCOME</t>
  </si>
  <si>
    <t xml:space="preserve">      4000 Memberships</t>
  </si>
  <si>
    <t xml:space="preserve">      4010 Auction and Draws</t>
  </si>
  <si>
    <t xml:space="preserve">      4020 Day Passes</t>
  </si>
  <si>
    <t xml:space="preserve">      4030 Donations Received</t>
  </si>
  <si>
    <t xml:space="preserve">      4040 Event Income</t>
  </si>
  <si>
    <t xml:space="preserve">      4050 Grants</t>
  </si>
  <si>
    <t xml:space="preserve">      4060 Interest Income</t>
  </si>
  <si>
    <t xml:space="preserve">      4070 Program Income</t>
  </si>
  <si>
    <t xml:space="preserve">      4080 Rental Income</t>
  </si>
  <si>
    <t xml:space="preserve">      4090 Sales</t>
  </si>
  <si>
    <t xml:space="preserve">      4100 Sponsorship</t>
  </si>
  <si>
    <t xml:space="preserve">      Activity  - CIP Funds to date (deleted)</t>
  </si>
  <si>
    <t xml:space="preserve">      Billable Expenditure Revenue</t>
  </si>
  <si>
    <t xml:space="preserve">      Billable Expense Income</t>
  </si>
  <si>
    <t xml:space="preserve">      Billable Expense Income ( 153 ) (deleted)</t>
  </si>
  <si>
    <t xml:space="preserve">      Billable Expense Income ( 155 ) (deleted)</t>
  </si>
  <si>
    <t xml:space="preserve">      Billable Expense Income-1 (deleted)</t>
  </si>
  <si>
    <t xml:space="preserve">      Bottle Return (deleted)</t>
  </si>
  <si>
    <t xml:space="preserve">      CIP Residual</t>
  </si>
  <si>
    <t xml:space="preserve">      Markup</t>
  </si>
  <si>
    <t xml:space="preserve">      Sales of Product Income</t>
  </si>
  <si>
    <t xml:space="preserve">      Unapplied Cash Payment Income</t>
  </si>
  <si>
    <t xml:space="preserve">      Uncategorized Income</t>
  </si>
  <si>
    <t xml:space="preserve">      Not Specified</t>
  </si>
  <si>
    <t xml:space="preserve">   Total Income</t>
  </si>
  <si>
    <t xml:space="preserve">   COST OF GOODS SOLD</t>
  </si>
  <si>
    <t xml:space="preserve">      Cost of Goods Sold</t>
  </si>
  <si>
    <t xml:space="preserve">   Total Cost of Goods Sold</t>
  </si>
  <si>
    <t>GROSS PROFIT</t>
  </si>
  <si>
    <t>EXPENSES</t>
  </si>
  <si>
    <t xml:space="preserve">   6010 Advertising</t>
  </si>
  <si>
    <t xml:space="preserve">   6020 AffinPayl fees</t>
  </si>
  <si>
    <t xml:space="preserve">   6030 Awards</t>
  </si>
  <si>
    <t xml:space="preserve">   6040 Bank charges</t>
  </si>
  <si>
    <t xml:space="preserve">   6050 Banquet</t>
  </si>
  <si>
    <t xml:space="preserve">   6060 Clearing 2024</t>
  </si>
  <si>
    <t xml:space="preserve">   6070 Conference</t>
  </si>
  <si>
    <t xml:space="preserve">      Hotels (deleted)</t>
  </si>
  <si>
    <t xml:space="preserve">      Meals (deleted)</t>
  </si>
  <si>
    <t xml:space="preserve">      Mileage (deleted)</t>
  </si>
  <si>
    <t xml:space="preserve">   Total 6070 Conference</t>
  </si>
  <si>
    <t xml:space="preserve">   6110 Fuel</t>
  </si>
  <si>
    <t xml:space="preserve">   6115 Donations</t>
  </si>
  <si>
    <t xml:space="preserve">   6120 Gifts/Flowers</t>
  </si>
  <si>
    <t xml:space="preserve">   6130 Insurance</t>
  </si>
  <si>
    <t xml:space="preserve">   6150 Internet Access</t>
  </si>
  <si>
    <t xml:space="preserve">   6160 Maintenance</t>
  </si>
  <si>
    <t xml:space="preserve">   6170 Memberships - Complimentary</t>
  </si>
  <si>
    <t xml:space="preserve">      Executive Members (deleted)</t>
  </si>
  <si>
    <t xml:space="preserve">      Life Members (deleted)</t>
  </si>
  <si>
    <t xml:space="preserve">   Total 6170 Memberships - Complimentary</t>
  </si>
  <si>
    <t xml:space="preserve">   6180 Office Supplies</t>
  </si>
  <si>
    <t xml:space="preserve">   6185 AWF Fees</t>
  </si>
  <si>
    <t xml:space="preserve">   6190 Professional Fees</t>
  </si>
  <si>
    <t xml:space="preserve">   6210 Program</t>
  </si>
  <si>
    <t xml:space="preserve">   6220 R &amp; M - Equipment</t>
  </si>
  <si>
    <t xml:space="preserve">   6230 Rent</t>
  </si>
  <si>
    <t xml:space="preserve">   6240 Security</t>
  </si>
  <si>
    <t xml:space="preserve">   6250 Supplies</t>
  </si>
  <si>
    <t xml:space="preserve">   6260 Utilities</t>
  </si>
  <si>
    <t xml:space="preserve">   6270 Volunteer Appreciation</t>
  </si>
  <si>
    <t xml:space="preserve">   6280 Equipment Purchases</t>
  </si>
  <si>
    <t xml:space="preserve">   6600 Payroll Expenses</t>
  </si>
  <si>
    <t xml:space="preserve">   6980 Uncategorized Expenses</t>
  </si>
  <si>
    <t xml:space="preserve">   Construction (deleted)</t>
  </si>
  <si>
    <t xml:space="preserve">   Event Expense (deleted)</t>
  </si>
  <si>
    <t xml:space="preserve">   General (deleted)</t>
  </si>
  <si>
    <t xml:space="preserve">   Honorium (deleted)</t>
  </si>
  <si>
    <t xml:space="preserve">   Measuring Day (deleted)</t>
  </si>
  <si>
    <t xml:space="preserve">   Purchases</t>
  </si>
  <si>
    <t xml:space="preserve">   Registration (deleted)</t>
  </si>
  <si>
    <t xml:space="preserve">   Unapplied Cash Bill Payment Expense</t>
  </si>
  <si>
    <t xml:space="preserve">   Uncategorized Expense (deleted)</t>
  </si>
  <si>
    <t xml:space="preserve">   Uncategorized Expense-1</t>
  </si>
  <si>
    <t xml:space="preserve">   Not Specified</t>
  </si>
  <si>
    <t>Total Expenses</t>
  </si>
  <si>
    <t>OTHER INCOME</t>
  </si>
  <si>
    <t xml:space="preserve">   4200 Loan Foregiveness</t>
  </si>
  <si>
    <t xml:space="preserve">   Income moved from Casino/Armour (deleted)</t>
  </si>
  <si>
    <t xml:space="preserve">   Transfer from CIP (deleted)</t>
  </si>
  <si>
    <t xml:space="preserve">   Transfer from LFGA Club (deleted)</t>
  </si>
  <si>
    <t xml:space="preserve">   Transfer from Sustainability (deleted)</t>
  </si>
  <si>
    <t>Total Other Income</t>
  </si>
  <si>
    <t>OTHER EXPENSES</t>
  </si>
  <si>
    <t xml:space="preserve">   80000 Purchases moved to Fixed Assets (deleted)</t>
  </si>
  <si>
    <t xml:space="preserve">   Clearing (deleted)</t>
  </si>
  <si>
    <t xml:space="preserve">   Fixed Asset Purchases (deleted)</t>
  </si>
  <si>
    <t xml:space="preserve">   Income moved to Reserves (deleted)</t>
  </si>
  <si>
    <t xml:space="preserve">   Items moved between Divisions (deleted)</t>
  </si>
  <si>
    <t xml:space="preserve">   Reconciliation Discrepancies</t>
  </si>
  <si>
    <t>Total Other Expenses</t>
  </si>
  <si>
    <t>PROFIT</t>
  </si>
  <si>
    <t>Lethbridge Fish &amp; Game Association</t>
  </si>
  <si>
    <t>Profit and Loss by Class</t>
  </si>
  <si>
    <t>January - December 2024</t>
  </si>
  <si>
    <t>Less notional amount documented for Community service</t>
  </si>
  <si>
    <t>Real Profit LFGA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</si>
</sst>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\ _€"/>
    <numFmt numFmtId="165" formatCode="&quot;$&quot;* #,##0.00\ _€"/>
  </numFmts>
  <fonts count="11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7" fillId="0" borderId="0" xfId="0" applyNumberFormat="1" applyFont="1" applyAlignment="1">
      <alignment wrapText="1"/>
    </xf>
    <xf numFmtId="0" fontId="8" fillId="0" borderId="0" xfId="0" applyFont="1" applyAlignment="1"/>
    <xf numFmtId="165" fontId="9" fillId="0" borderId="3" xfId="0" applyNumberFormat="1" applyFont="1" applyBorder="1" applyAlignment="1">
      <alignment horizontal="right" wrapText="1"/>
    </xf>
    <xf numFmtId="0" fontId="10" fillId="0" borderId="0" xfId="0" applyFont="1" applyAlignment="1">
      <alignment horizontal="right"/>
    </xf>
    <xf numFmtId="164" fontId="6" fillId="0" borderId="1" xfId="0" applyNumberFormat="1" applyFont="1" applyBorder="1" applyAlignment="1">
      <alignment wrapText="1"/>
    </xf>
    <xf numFmtId="44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workbookViewId="0">
      <selection activeCell="R103" sqref="R103"/>
    </sheetView>
  </sheetViews>
  <sheetFormatPr defaultRowHeight="14.4" x14ac:dyDescent="0.3"/>
  <cols>
    <col min="1" max="1" width="43.77734375" customWidth="1"/>
    <col min="2" max="2" width="7.77734375" customWidth="1"/>
    <col min="3" max="4" width="9.44140625" customWidth="1"/>
    <col min="5" max="5" width="11.21875" customWidth="1"/>
    <col min="6" max="6" width="10.33203125" customWidth="1"/>
    <col min="7" max="7" width="11.21875" customWidth="1"/>
    <col min="8" max="8" width="7.77734375" customWidth="1"/>
    <col min="9" max="10" width="10.33203125" customWidth="1"/>
    <col min="11" max="11" width="11.21875" customWidth="1"/>
    <col min="12" max="13" width="10.33203125" customWidth="1"/>
    <col min="14" max="14" width="8.5546875" customWidth="1"/>
    <col min="15" max="15" width="11.21875" customWidth="1"/>
  </cols>
  <sheetData>
    <row r="1" spans="1:15" ht="17.399999999999999" x14ac:dyDescent="0.3">
      <c r="A1" s="10" t="s">
        <v>107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7.399999999999999" x14ac:dyDescent="0.3">
      <c r="A2" s="10" t="s">
        <v>108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3">
      <c r="A3" s="11" t="s">
        <v>109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5" spans="1:15" ht="36.6" x14ac:dyDescent="0.3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x14ac:dyDescent="0.3">
      <c r="A6" s="3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">
      <c r="A7" s="3" t="s">
        <v>15</v>
      </c>
      <c r="B7" s="4"/>
      <c r="C7" s="4"/>
      <c r="D7" s="5">
        <f t="shared" ref="D7:D31" si="0">(B7)+(C7)</f>
        <v>0</v>
      </c>
      <c r="E7" s="4"/>
      <c r="F7" s="4"/>
      <c r="G7" s="4"/>
      <c r="H7" s="4"/>
      <c r="I7" s="4"/>
      <c r="J7" s="5">
        <f>150332.95</f>
        <v>150332.95000000001</v>
      </c>
      <c r="K7" s="5">
        <f t="shared" ref="K7:K31" si="1">(((((E7)+(F7))+(G7))+(H7))+(I7))+(J7)</f>
        <v>150332.95000000001</v>
      </c>
      <c r="L7" s="4"/>
      <c r="M7" s="5">
        <f>88452</f>
        <v>88452</v>
      </c>
      <c r="N7" s="4"/>
      <c r="O7" s="5">
        <f t="shared" ref="O7:O31" si="2">((((D7)+(K7))+(L7))+(M7))+(N7)</f>
        <v>238784.95</v>
      </c>
    </row>
    <row r="8" spans="1:15" x14ac:dyDescent="0.3">
      <c r="A8" s="3" t="s">
        <v>16</v>
      </c>
      <c r="B8" s="4"/>
      <c r="C8" s="4"/>
      <c r="D8" s="5">
        <f t="shared" si="0"/>
        <v>0</v>
      </c>
      <c r="E8" s="5">
        <f>153</f>
        <v>153</v>
      </c>
      <c r="F8" s="5">
        <f>3143.3</f>
        <v>3143.3</v>
      </c>
      <c r="G8" s="4"/>
      <c r="H8" s="4"/>
      <c r="I8" s="4"/>
      <c r="J8" s="4"/>
      <c r="K8" s="5">
        <f t="shared" si="1"/>
        <v>3296.3</v>
      </c>
      <c r="L8" s="5">
        <f>9048</f>
        <v>9048</v>
      </c>
      <c r="M8" s="5">
        <f>1490.75</f>
        <v>1490.75</v>
      </c>
      <c r="N8" s="4"/>
      <c r="O8" s="5">
        <f t="shared" si="2"/>
        <v>13835.05</v>
      </c>
    </row>
    <row r="9" spans="1:15" x14ac:dyDescent="0.3">
      <c r="A9" s="3" t="s">
        <v>17</v>
      </c>
      <c r="B9" s="4"/>
      <c r="C9" s="4"/>
      <c r="D9" s="5">
        <f t="shared" si="0"/>
        <v>0</v>
      </c>
      <c r="E9" s="4"/>
      <c r="F9" s="4"/>
      <c r="G9" s="4"/>
      <c r="H9" s="4"/>
      <c r="I9" s="4"/>
      <c r="J9" s="4"/>
      <c r="K9" s="5">
        <f t="shared" si="1"/>
        <v>0</v>
      </c>
      <c r="L9" s="4"/>
      <c r="M9" s="5">
        <f>3905</f>
        <v>3905</v>
      </c>
      <c r="N9" s="4"/>
      <c r="O9" s="5">
        <f t="shared" si="2"/>
        <v>3905</v>
      </c>
    </row>
    <row r="10" spans="1:15" x14ac:dyDescent="0.3">
      <c r="A10" s="3" t="s">
        <v>18</v>
      </c>
      <c r="B10" s="4"/>
      <c r="C10" s="4"/>
      <c r="D10" s="5">
        <f t="shared" si="0"/>
        <v>0</v>
      </c>
      <c r="E10" s="5">
        <f>75</f>
        <v>75</v>
      </c>
      <c r="F10" s="4"/>
      <c r="G10" s="4"/>
      <c r="H10" s="4"/>
      <c r="I10" s="5">
        <f>27.25</f>
        <v>27.25</v>
      </c>
      <c r="J10" s="5">
        <f>0</f>
        <v>0</v>
      </c>
      <c r="K10" s="5">
        <f t="shared" si="1"/>
        <v>102.25</v>
      </c>
      <c r="L10" s="4"/>
      <c r="M10" s="5">
        <f>2.85</f>
        <v>2.85</v>
      </c>
      <c r="N10" s="4"/>
      <c r="O10" s="5">
        <f t="shared" si="2"/>
        <v>105.1</v>
      </c>
    </row>
    <row r="11" spans="1:15" x14ac:dyDescent="0.3">
      <c r="A11" s="3" t="s">
        <v>19</v>
      </c>
      <c r="B11" s="4"/>
      <c r="C11" s="4"/>
      <c r="D11" s="5">
        <f t="shared" si="0"/>
        <v>0</v>
      </c>
      <c r="E11" s="4"/>
      <c r="F11" s="4"/>
      <c r="G11" s="4"/>
      <c r="H11" s="4"/>
      <c r="I11" s="4"/>
      <c r="J11" s="4"/>
      <c r="K11" s="5">
        <f t="shared" si="1"/>
        <v>0</v>
      </c>
      <c r="L11" s="4"/>
      <c r="M11" s="5">
        <f>3000</f>
        <v>3000</v>
      </c>
      <c r="N11" s="4"/>
      <c r="O11" s="5">
        <f t="shared" si="2"/>
        <v>3000</v>
      </c>
    </row>
    <row r="12" spans="1:15" x14ac:dyDescent="0.3">
      <c r="A12" s="3" t="s">
        <v>20</v>
      </c>
      <c r="B12" s="4"/>
      <c r="C12" s="5">
        <f>24754</f>
        <v>24754</v>
      </c>
      <c r="D12" s="5">
        <f t="shared" si="0"/>
        <v>24754</v>
      </c>
      <c r="E12" s="4"/>
      <c r="F12" s="4"/>
      <c r="G12" s="4"/>
      <c r="H12" s="4"/>
      <c r="I12" s="4"/>
      <c r="J12" s="4"/>
      <c r="K12" s="5">
        <f t="shared" si="1"/>
        <v>0</v>
      </c>
      <c r="L12" s="5">
        <f>2150</f>
        <v>2150</v>
      </c>
      <c r="M12" s="5">
        <f>1000</f>
        <v>1000</v>
      </c>
      <c r="N12" s="5">
        <f>7650</f>
        <v>7650</v>
      </c>
      <c r="O12" s="5">
        <f t="shared" si="2"/>
        <v>35554</v>
      </c>
    </row>
    <row r="13" spans="1:15" x14ac:dyDescent="0.3">
      <c r="A13" s="3" t="s">
        <v>21</v>
      </c>
      <c r="B13" s="4"/>
      <c r="C13" s="4"/>
      <c r="D13" s="5">
        <f t="shared" si="0"/>
        <v>0</v>
      </c>
      <c r="E13" s="5">
        <f>4096.75</f>
        <v>4096.75</v>
      </c>
      <c r="F13" s="4"/>
      <c r="G13" s="4"/>
      <c r="H13" s="4"/>
      <c r="I13" s="4"/>
      <c r="J13" s="4"/>
      <c r="K13" s="5">
        <f t="shared" si="1"/>
        <v>4096.75</v>
      </c>
      <c r="L13" s="4"/>
      <c r="M13" s="5">
        <f>12297</f>
        <v>12297</v>
      </c>
      <c r="N13" s="4"/>
      <c r="O13" s="5">
        <f t="shared" si="2"/>
        <v>16393.75</v>
      </c>
    </row>
    <row r="14" spans="1:15" x14ac:dyDescent="0.3">
      <c r="A14" s="3" t="s">
        <v>22</v>
      </c>
      <c r="B14" s="4"/>
      <c r="C14" s="4"/>
      <c r="D14" s="5">
        <f t="shared" si="0"/>
        <v>0</v>
      </c>
      <c r="E14" s="4"/>
      <c r="F14" s="4"/>
      <c r="G14" s="4"/>
      <c r="H14" s="4"/>
      <c r="I14" s="4"/>
      <c r="J14" s="4"/>
      <c r="K14" s="5">
        <f t="shared" si="1"/>
        <v>0</v>
      </c>
      <c r="L14" s="5">
        <f>4905</f>
        <v>4905</v>
      </c>
      <c r="M14" s="5">
        <f>6973.6</f>
        <v>6973.6</v>
      </c>
      <c r="N14" s="4"/>
      <c r="O14" s="5">
        <f t="shared" si="2"/>
        <v>11878.6</v>
      </c>
    </row>
    <row r="15" spans="1:15" x14ac:dyDescent="0.3">
      <c r="A15" s="3" t="s">
        <v>23</v>
      </c>
      <c r="B15" s="4"/>
      <c r="C15" s="4"/>
      <c r="D15" s="5">
        <f t="shared" si="0"/>
        <v>0</v>
      </c>
      <c r="E15" s="5">
        <f>60</f>
        <v>60</v>
      </c>
      <c r="F15" s="4"/>
      <c r="G15" s="4"/>
      <c r="H15" s="4"/>
      <c r="I15" s="5">
        <f>4365</f>
        <v>4365</v>
      </c>
      <c r="J15" s="4"/>
      <c r="K15" s="5">
        <f t="shared" si="1"/>
        <v>4425</v>
      </c>
      <c r="L15" s="4"/>
      <c r="M15" s="5">
        <f>30723.81</f>
        <v>30723.81</v>
      </c>
      <c r="N15" s="4"/>
      <c r="O15" s="5">
        <f t="shared" si="2"/>
        <v>35148.81</v>
      </c>
    </row>
    <row r="16" spans="1:15" x14ac:dyDescent="0.3">
      <c r="A16" s="3" t="s">
        <v>24</v>
      </c>
      <c r="B16" s="4"/>
      <c r="C16" s="4"/>
      <c r="D16" s="5">
        <f t="shared" si="0"/>
        <v>0</v>
      </c>
      <c r="E16" s="4"/>
      <c r="F16" s="5">
        <f>11766</f>
        <v>11766</v>
      </c>
      <c r="G16" s="4"/>
      <c r="H16" s="4"/>
      <c r="I16" s="4"/>
      <c r="J16" s="4"/>
      <c r="K16" s="5">
        <f t="shared" si="1"/>
        <v>11766</v>
      </c>
      <c r="L16" s="4"/>
      <c r="M16" s="5">
        <f>8304.15</f>
        <v>8304.15</v>
      </c>
      <c r="N16" s="4"/>
      <c r="O16" s="5">
        <f t="shared" si="2"/>
        <v>20070.150000000001</v>
      </c>
    </row>
    <row r="17" spans="1:15" x14ac:dyDescent="0.3">
      <c r="A17" s="3" t="s">
        <v>25</v>
      </c>
      <c r="B17" s="4"/>
      <c r="C17" s="4"/>
      <c r="D17" s="5">
        <f t="shared" si="0"/>
        <v>0</v>
      </c>
      <c r="E17" s="4"/>
      <c r="F17" s="4"/>
      <c r="G17" s="4"/>
      <c r="H17" s="4"/>
      <c r="I17" s="4"/>
      <c r="J17" s="4"/>
      <c r="K17" s="5">
        <f t="shared" si="1"/>
        <v>0</v>
      </c>
      <c r="L17" s="5">
        <f>1075</f>
        <v>1075</v>
      </c>
      <c r="M17" s="4"/>
      <c r="N17" s="4"/>
      <c r="O17" s="5">
        <f t="shared" si="2"/>
        <v>1075</v>
      </c>
    </row>
    <row r="18" spans="1:15" x14ac:dyDescent="0.3">
      <c r="A18" s="3" t="s">
        <v>26</v>
      </c>
      <c r="B18" s="4"/>
      <c r="C18" s="4"/>
      <c r="D18" s="5">
        <f t="shared" si="0"/>
        <v>0</v>
      </c>
      <c r="E18" s="4"/>
      <c r="F18" s="4"/>
      <c r="G18" s="4"/>
      <c r="H18" s="4"/>
      <c r="I18" s="4"/>
      <c r="J18" s="4"/>
      <c r="K18" s="5">
        <f t="shared" si="1"/>
        <v>0</v>
      </c>
      <c r="L18" s="4"/>
      <c r="M18" s="4"/>
      <c r="N18" s="4"/>
      <c r="O18" s="5">
        <f t="shared" si="2"/>
        <v>0</v>
      </c>
    </row>
    <row r="19" spans="1:15" x14ac:dyDescent="0.3">
      <c r="A19" s="3" t="s">
        <v>27</v>
      </c>
      <c r="B19" s="4"/>
      <c r="C19" s="4"/>
      <c r="D19" s="5">
        <f t="shared" si="0"/>
        <v>0</v>
      </c>
      <c r="E19" s="4"/>
      <c r="F19" s="4"/>
      <c r="G19" s="4"/>
      <c r="H19" s="4"/>
      <c r="I19" s="4"/>
      <c r="J19" s="4"/>
      <c r="K19" s="5">
        <f t="shared" si="1"/>
        <v>0</v>
      </c>
      <c r="L19" s="4"/>
      <c r="M19" s="4"/>
      <c r="N19" s="4"/>
      <c r="O19" s="5">
        <f t="shared" si="2"/>
        <v>0</v>
      </c>
    </row>
    <row r="20" spans="1:15" x14ac:dyDescent="0.3">
      <c r="A20" s="3" t="s">
        <v>28</v>
      </c>
      <c r="B20" s="4"/>
      <c r="C20" s="4"/>
      <c r="D20" s="5">
        <f t="shared" si="0"/>
        <v>0</v>
      </c>
      <c r="E20" s="4"/>
      <c r="F20" s="4"/>
      <c r="G20" s="4"/>
      <c r="H20" s="4"/>
      <c r="I20" s="4"/>
      <c r="J20" s="4"/>
      <c r="K20" s="5">
        <f t="shared" si="1"/>
        <v>0</v>
      </c>
      <c r="L20" s="4"/>
      <c r="M20" s="4"/>
      <c r="N20" s="4"/>
      <c r="O20" s="5">
        <f t="shared" si="2"/>
        <v>0</v>
      </c>
    </row>
    <row r="21" spans="1:15" x14ac:dyDescent="0.3">
      <c r="A21" s="3" t="s">
        <v>29</v>
      </c>
      <c r="B21" s="4"/>
      <c r="C21" s="4"/>
      <c r="D21" s="5">
        <f t="shared" si="0"/>
        <v>0</v>
      </c>
      <c r="E21" s="4"/>
      <c r="F21" s="4"/>
      <c r="G21" s="4"/>
      <c r="H21" s="4"/>
      <c r="I21" s="4"/>
      <c r="J21" s="4"/>
      <c r="K21" s="5">
        <f t="shared" si="1"/>
        <v>0</v>
      </c>
      <c r="L21" s="4"/>
      <c r="M21" s="4"/>
      <c r="N21" s="4"/>
      <c r="O21" s="5">
        <f t="shared" si="2"/>
        <v>0</v>
      </c>
    </row>
    <row r="22" spans="1:15" x14ac:dyDescent="0.3">
      <c r="A22" s="3" t="s">
        <v>30</v>
      </c>
      <c r="B22" s="4"/>
      <c r="C22" s="4"/>
      <c r="D22" s="5">
        <f t="shared" si="0"/>
        <v>0</v>
      </c>
      <c r="E22" s="4"/>
      <c r="F22" s="4"/>
      <c r="G22" s="4"/>
      <c r="H22" s="4"/>
      <c r="I22" s="4"/>
      <c r="J22" s="4"/>
      <c r="K22" s="5">
        <f t="shared" si="1"/>
        <v>0</v>
      </c>
      <c r="L22" s="4"/>
      <c r="M22" s="4"/>
      <c r="N22" s="4"/>
      <c r="O22" s="5">
        <f t="shared" si="2"/>
        <v>0</v>
      </c>
    </row>
    <row r="23" spans="1:15" x14ac:dyDescent="0.3">
      <c r="A23" s="3" t="s">
        <v>31</v>
      </c>
      <c r="B23" s="4"/>
      <c r="C23" s="4"/>
      <c r="D23" s="5">
        <f t="shared" si="0"/>
        <v>0</v>
      </c>
      <c r="E23" s="4"/>
      <c r="F23" s="4"/>
      <c r="G23" s="4"/>
      <c r="H23" s="4"/>
      <c r="I23" s="4"/>
      <c r="J23" s="4"/>
      <c r="K23" s="5">
        <f t="shared" si="1"/>
        <v>0</v>
      </c>
      <c r="L23" s="4"/>
      <c r="M23" s="4"/>
      <c r="N23" s="4"/>
      <c r="O23" s="5">
        <f t="shared" si="2"/>
        <v>0</v>
      </c>
    </row>
    <row r="24" spans="1:15" x14ac:dyDescent="0.3">
      <c r="A24" s="3" t="s">
        <v>32</v>
      </c>
      <c r="B24" s="4"/>
      <c r="C24" s="4"/>
      <c r="D24" s="5">
        <f t="shared" si="0"/>
        <v>0</v>
      </c>
      <c r="E24" s="4"/>
      <c r="F24" s="4"/>
      <c r="G24" s="4"/>
      <c r="H24" s="4"/>
      <c r="I24" s="4"/>
      <c r="J24" s="4"/>
      <c r="K24" s="5">
        <f t="shared" si="1"/>
        <v>0</v>
      </c>
      <c r="L24" s="4"/>
      <c r="M24" s="4"/>
      <c r="N24" s="4"/>
      <c r="O24" s="5">
        <f t="shared" si="2"/>
        <v>0</v>
      </c>
    </row>
    <row r="25" spans="1:15" x14ac:dyDescent="0.3">
      <c r="A25" s="3" t="s">
        <v>33</v>
      </c>
      <c r="B25" s="4"/>
      <c r="C25" s="4"/>
      <c r="D25" s="5">
        <f t="shared" si="0"/>
        <v>0</v>
      </c>
      <c r="E25" s="4"/>
      <c r="F25" s="4"/>
      <c r="G25" s="4"/>
      <c r="H25" s="4"/>
      <c r="I25" s="4"/>
      <c r="J25" s="4"/>
      <c r="K25" s="5">
        <f t="shared" si="1"/>
        <v>0</v>
      </c>
      <c r="L25" s="4"/>
      <c r="M25" s="4"/>
      <c r="N25" s="4"/>
      <c r="O25" s="5">
        <f t="shared" si="2"/>
        <v>0</v>
      </c>
    </row>
    <row r="26" spans="1:15" x14ac:dyDescent="0.3">
      <c r="A26" s="3" t="s">
        <v>34</v>
      </c>
      <c r="B26" s="4"/>
      <c r="C26" s="4"/>
      <c r="D26" s="5">
        <f t="shared" si="0"/>
        <v>0</v>
      </c>
      <c r="E26" s="4"/>
      <c r="F26" s="4"/>
      <c r="G26" s="4"/>
      <c r="H26" s="4"/>
      <c r="I26" s="4"/>
      <c r="J26" s="4"/>
      <c r="K26" s="5">
        <f t="shared" si="1"/>
        <v>0</v>
      </c>
      <c r="L26" s="4"/>
      <c r="M26" s="4"/>
      <c r="N26" s="4"/>
      <c r="O26" s="5">
        <f t="shared" si="2"/>
        <v>0</v>
      </c>
    </row>
    <row r="27" spans="1:15" x14ac:dyDescent="0.3">
      <c r="A27" s="3" t="s">
        <v>35</v>
      </c>
      <c r="B27" s="4"/>
      <c r="C27" s="4"/>
      <c r="D27" s="5">
        <f t="shared" si="0"/>
        <v>0</v>
      </c>
      <c r="E27" s="4"/>
      <c r="F27" s="4"/>
      <c r="G27" s="4"/>
      <c r="H27" s="4"/>
      <c r="I27" s="4"/>
      <c r="J27" s="4"/>
      <c r="K27" s="5">
        <f t="shared" si="1"/>
        <v>0</v>
      </c>
      <c r="L27" s="4"/>
      <c r="M27" s="4"/>
      <c r="N27" s="4"/>
      <c r="O27" s="5">
        <f t="shared" si="2"/>
        <v>0</v>
      </c>
    </row>
    <row r="28" spans="1:15" x14ac:dyDescent="0.3">
      <c r="A28" s="3" t="s">
        <v>36</v>
      </c>
      <c r="B28" s="4"/>
      <c r="C28" s="4"/>
      <c r="D28" s="5">
        <f t="shared" si="0"/>
        <v>0</v>
      </c>
      <c r="E28" s="4"/>
      <c r="F28" s="4"/>
      <c r="G28" s="4"/>
      <c r="H28" s="4"/>
      <c r="I28" s="4"/>
      <c r="J28" s="4"/>
      <c r="K28" s="5">
        <f t="shared" si="1"/>
        <v>0</v>
      </c>
      <c r="L28" s="4"/>
      <c r="M28" s="4"/>
      <c r="N28" s="4"/>
      <c r="O28" s="5">
        <f t="shared" si="2"/>
        <v>0</v>
      </c>
    </row>
    <row r="29" spans="1:15" x14ac:dyDescent="0.3">
      <c r="A29" s="3" t="s">
        <v>37</v>
      </c>
      <c r="B29" s="4"/>
      <c r="C29" s="4"/>
      <c r="D29" s="5">
        <f t="shared" si="0"/>
        <v>0</v>
      </c>
      <c r="E29" s="4"/>
      <c r="F29" s="4"/>
      <c r="G29" s="4"/>
      <c r="H29" s="4"/>
      <c r="I29" s="4"/>
      <c r="J29" s="4"/>
      <c r="K29" s="5">
        <f t="shared" si="1"/>
        <v>0</v>
      </c>
      <c r="L29" s="4"/>
      <c r="M29" s="4"/>
      <c r="N29" s="4"/>
      <c r="O29" s="5">
        <f t="shared" si="2"/>
        <v>0</v>
      </c>
    </row>
    <row r="30" spans="1:15" x14ac:dyDescent="0.3">
      <c r="A30" s="3" t="s">
        <v>38</v>
      </c>
      <c r="B30" s="4"/>
      <c r="C30" s="4"/>
      <c r="D30" s="5">
        <f t="shared" si="0"/>
        <v>0</v>
      </c>
      <c r="E30" s="4"/>
      <c r="F30" s="4"/>
      <c r="G30" s="4"/>
      <c r="H30" s="4"/>
      <c r="I30" s="4"/>
      <c r="J30" s="4"/>
      <c r="K30" s="5">
        <f t="shared" si="1"/>
        <v>0</v>
      </c>
      <c r="L30" s="4"/>
      <c r="M30" s="4"/>
      <c r="N30" s="4"/>
      <c r="O30" s="5">
        <f t="shared" si="2"/>
        <v>0</v>
      </c>
    </row>
    <row r="31" spans="1:15" x14ac:dyDescent="0.3">
      <c r="A31" s="3" t="s">
        <v>39</v>
      </c>
      <c r="B31" s="6">
        <f>(((((((((((((((((((((((B7)+(B8))+(B9))+(B10))+(B11))+(B12))+(B13))+(B14))+(B15))+(B16))+(B17))+(B18))+(B19))+(B20))+(B21))+(B22))+(B23))+(B24))+(B25))+(B26))+(B27))+(B28))+(B29))+(B30)</f>
        <v>0</v>
      </c>
      <c r="C31" s="6">
        <f>(((((((((((((((((((((((C7)+(C8))+(C9))+(C10))+(C11))+(C12))+(C13))+(C14))+(C15))+(C16))+(C17))+(C18))+(C19))+(C20))+(C21))+(C22))+(C23))+(C24))+(C25))+(C26))+(C27))+(C28))+(C29))+(C30)</f>
        <v>24754</v>
      </c>
      <c r="D31" s="6">
        <f t="shared" si="0"/>
        <v>24754</v>
      </c>
      <c r="E31" s="6">
        <f t="shared" ref="E31:J31" si="3">(((((((((((((((((((((((E7)+(E8))+(E9))+(E10))+(E11))+(E12))+(E13))+(E14))+(E15))+(E16))+(E17))+(E18))+(E19))+(E20))+(E21))+(E22))+(E23))+(E24))+(E25))+(E26))+(E27))+(E28))+(E29))+(E30)</f>
        <v>4384.75</v>
      </c>
      <c r="F31" s="6">
        <f t="shared" si="3"/>
        <v>14909.3</v>
      </c>
      <c r="G31" s="6">
        <f t="shared" si="3"/>
        <v>0</v>
      </c>
      <c r="H31" s="6">
        <f t="shared" si="3"/>
        <v>0</v>
      </c>
      <c r="I31" s="6">
        <f t="shared" si="3"/>
        <v>4392.25</v>
      </c>
      <c r="J31" s="6">
        <f t="shared" si="3"/>
        <v>150332.95000000001</v>
      </c>
      <c r="K31" s="6">
        <f t="shared" si="1"/>
        <v>174019.25</v>
      </c>
      <c r="L31" s="6">
        <f>(((((((((((((((((((((((L7)+(L8))+(L9))+(L10))+(L11))+(L12))+(L13))+(L14))+(L15))+(L16))+(L17))+(L18))+(L19))+(L20))+(L21))+(L22))+(L23))+(L24))+(L25))+(L26))+(L27))+(L28))+(L29))+(L30)</f>
        <v>17178</v>
      </c>
      <c r="M31" s="6">
        <f>(((((((((((((((((((((((M7)+(M8))+(M9))+(M10))+(M11))+(M12))+(M13))+(M14))+(M15))+(M16))+(M17))+(M18))+(M19))+(M20))+(M21))+(M22))+(M23))+(M24))+(M25))+(M26))+(M27))+(M28))+(M29))+(M30)</f>
        <v>156149.16</v>
      </c>
      <c r="N31" s="6">
        <f>(((((((((((((((((((((((N7)+(N8))+(N9))+(N10))+(N11))+(N12))+(N13))+(N14))+(N15))+(N16))+(N17))+(N18))+(N19))+(N20))+(N21))+(N22))+(N23))+(N24))+(N25))+(N26))+(N27))+(N28))+(N29))+(N30)</f>
        <v>7650</v>
      </c>
      <c r="O31" s="6">
        <f t="shared" si="2"/>
        <v>379750.41000000003</v>
      </c>
    </row>
    <row r="32" spans="1:15" x14ac:dyDescent="0.3">
      <c r="A32" s="3" t="s">
        <v>40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3">
      <c r="A33" s="3" t="s">
        <v>41</v>
      </c>
      <c r="B33" s="4"/>
      <c r="C33" s="4"/>
      <c r="D33" s="5">
        <f>(B33)+(C33)</f>
        <v>0</v>
      </c>
      <c r="E33" s="4"/>
      <c r="F33" s="4"/>
      <c r="G33" s="4"/>
      <c r="H33" s="4"/>
      <c r="I33" s="4"/>
      <c r="J33" s="4"/>
      <c r="K33" s="5">
        <f>(((((E33)+(F33))+(G33))+(H33))+(I33))+(J33)</f>
        <v>0</v>
      </c>
      <c r="L33" s="4"/>
      <c r="M33" s="4"/>
      <c r="N33" s="4"/>
      <c r="O33" s="5">
        <f>((((D33)+(K33))+(L33))+(M33))+(N33)</f>
        <v>0</v>
      </c>
    </row>
    <row r="34" spans="1:15" x14ac:dyDescent="0.3">
      <c r="A34" s="3" t="s">
        <v>38</v>
      </c>
      <c r="B34" s="4"/>
      <c r="C34" s="4"/>
      <c r="D34" s="5">
        <f>(B34)+(C34)</f>
        <v>0</v>
      </c>
      <c r="E34" s="4"/>
      <c r="F34" s="4"/>
      <c r="G34" s="4"/>
      <c r="H34" s="4"/>
      <c r="I34" s="4"/>
      <c r="J34" s="4"/>
      <c r="K34" s="5">
        <f>(((((E34)+(F34))+(G34))+(H34))+(I34))+(J34)</f>
        <v>0</v>
      </c>
      <c r="L34" s="4"/>
      <c r="M34" s="4"/>
      <c r="N34" s="4"/>
      <c r="O34" s="5">
        <f>((((D34)+(K34))+(L34))+(M34))+(N34)</f>
        <v>0</v>
      </c>
    </row>
    <row r="35" spans="1:15" x14ac:dyDescent="0.3">
      <c r="A35" s="3" t="s">
        <v>42</v>
      </c>
      <c r="B35" s="6">
        <f>(B33)+(B34)</f>
        <v>0</v>
      </c>
      <c r="C35" s="6">
        <f>(C33)+(C34)</f>
        <v>0</v>
      </c>
      <c r="D35" s="6">
        <f>(B35)+(C35)</f>
        <v>0</v>
      </c>
      <c r="E35" s="6">
        <f t="shared" ref="E35:J35" si="4">(E33)+(E34)</f>
        <v>0</v>
      </c>
      <c r="F35" s="6">
        <f t="shared" si="4"/>
        <v>0</v>
      </c>
      <c r="G35" s="6">
        <f t="shared" si="4"/>
        <v>0</v>
      </c>
      <c r="H35" s="6">
        <f t="shared" si="4"/>
        <v>0</v>
      </c>
      <c r="I35" s="6">
        <f t="shared" si="4"/>
        <v>0</v>
      </c>
      <c r="J35" s="6">
        <f t="shared" si="4"/>
        <v>0</v>
      </c>
      <c r="K35" s="6">
        <f>(((((E35)+(F35))+(G35))+(H35))+(I35))+(J35)</f>
        <v>0</v>
      </c>
      <c r="L35" s="6">
        <f>(L33)+(L34)</f>
        <v>0</v>
      </c>
      <c r="M35" s="6">
        <f>(M33)+(M34)</f>
        <v>0</v>
      </c>
      <c r="N35" s="6">
        <f>(N33)+(N34)</f>
        <v>0</v>
      </c>
      <c r="O35" s="6">
        <f>((((D35)+(K35))+(L35))+(M35))+(N35)</f>
        <v>0</v>
      </c>
    </row>
    <row r="36" spans="1:15" x14ac:dyDescent="0.3">
      <c r="A36" s="3" t="s">
        <v>43</v>
      </c>
      <c r="B36" s="6">
        <f>(B31)-(B35)</f>
        <v>0</v>
      </c>
      <c r="C36" s="6">
        <f>(C31)-(C35)</f>
        <v>24754</v>
      </c>
      <c r="D36" s="6">
        <f>(B36)+(C36)</f>
        <v>24754</v>
      </c>
      <c r="E36" s="6">
        <f t="shared" ref="E36:J36" si="5">(E31)-(E35)</f>
        <v>4384.75</v>
      </c>
      <c r="F36" s="6">
        <f t="shared" si="5"/>
        <v>14909.3</v>
      </c>
      <c r="G36" s="6">
        <f t="shared" si="5"/>
        <v>0</v>
      </c>
      <c r="H36" s="6">
        <f t="shared" si="5"/>
        <v>0</v>
      </c>
      <c r="I36" s="6">
        <f t="shared" si="5"/>
        <v>4392.25</v>
      </c>
      <c r="J36" s="6">
        <f t="shared" si="5"/>
        <v>150332.95000000001</v>
      </c>
      <c r="K36" s="6">
        <f>(((((E36)+(F36))+(G36))+(H36))+(I36))+(J36)</f>
        <v>174019.25</v>
      </c>
      <c r="L36" s="6">
        <f>(L31)-(L35)</f>
        <v>17178</v>
      </c>
      <c r="M36" s="6">
        <f>(M31)-(M35)</f>
        <v>156149.16</v>
      </c>
      <c r="N36" s="6">
        <f>(N31)-(N35)</f>
        <v>7650</v>
      </c>
      <c r="O36" s="6">
        <f>((((D36)+(K36))+(L36))+(M36))+(N36)</f>
        <v>379750.41000000003</v>
      </c>
    </row>
    <row r="37" spans="1:15" x14ac:dyDescent="0.3">
      <c r="A37" s="3" t="s">
        <v>44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3">
      <c r="A38" s="3" t="s">
        <v>45</v>
      </c>
      <c r="B38" s="4"/>
      <c r="C38" s="4"/>
      <c r="D38" s="5">
        <f t="shared" ref="D38:D83" si="6">(B38)+(C38)</f>
        <v>0</v>
      </c>
      <c r="E38" s="5">
        <f>2783</f>
        <v>2783</v>
      </c>
      <c r="F38" s="4"/>
      <c r="G38" s="4"/>
      <c r="H38" s="4"/>
      <c r="I38" s="5">
        <f>365.81</f>
        <v>365.81</v>
      </c>
      <c r="J38" s="4"/>
      <c r="K38" s="5">
        <f t="shared" ref="K38:K83" si="7">(((((E38)+(F38))+(G38))+(H38))+(I38))+(J38)</f>
        <v>3148.81</v>
      </c>
      <c r="L38" s="5">
        <f>200</f>
        <v>200</v>
      </c>
      <c r="M38" s="5">
        <f>1033.73</f>
        <v>1033.73</v>
      </c>
      <c r="N38" s="4"/>
      <c r="O38" s="5">
        <f t="shared" ref="O38:O83" si="8">((((D38)+(K38))+(L38))+(M38))+(N38)</f>
        <v>4382.54</v>
      </c>
    </row>
    <row r="39" spans="1:15" x14ac:dyDescent="0.3">
      <c r="A39" s="3" t="s">
        <v>46</v>
      </c>
      <c r="B39" s="4"/>
      <c r="C39" s="4"/>
      <c r="D39" s="5">
        <f t="shared" si="6"/>
        <v>0</v>
      </c>
      <c r="E39" s="4"/>
      <c r="F39" s="4"/>
      <c r="G39" s="4"/>
      <c r="H39" s="4"/>
      <c r="I39" s="4"/>
      <c r="J39" s="5">
        <f>10837.31</f>
        <v>10837.31</v>
      </c>
      <c r="K39" s="5">
        <f t="shared" si="7"/>
        <v>10837.31</v>
      </c>
      <c r="L39" s="4"/>
      <c r="M39" s="4"/>
      <c r="N39" s="4"/>
      <c r="O39" s="5">
        <f t="shared" si="8"/>
        <v>10837.31</v>
      </c>
    </row>
    <row r="40" spans="1:15" x14ac:dyDescent="0.3">
      <c r="A40" s="3" t="s">
        <v>47</v>
      </c>
      <c r="B40" s="4"/>
      <c r="C40" s="4"/>
      <c r="D40" s="5">
        <f t="shared" si="6"/>
        <v>0</v>
      </c>
      <c r="E40" s="5">
        <f>106.77</f>
        <v>106.77</v>
      </c>
      <c r="F40" s="4"/>
      <c r="G40" s="4"/>
      <c r="H40" s="4"/>
      <c r="I40" s="4"/>
      <c r="J40" s="4"/>
      <c r="K40" s="5">
        <f t="shared" si="7"/>
        <v>106.77</v>
      </c>
      <c r="L40" s="5">
        <f>1566.28</f>
        <v>1566.28</v>
      </c>
      <c r="M40" s="4"/>
      <c r="N40" s="4"/>
      <c r="O40" s="5">
        <f t="shared" si="8"/>
        <v>1673.05</v>
      </c>
    </row>
    <row r="41" spans="1:15" x14ac:dyDescent="0.3">
      <c r="A41" s="3" t="s">
        <v>48</v>
      </c>
      <c r="B41" s="4"/>
      <c r="C41" s="4"/>
      <c r="D41" s="5">
        <f t="shared" si="6"/>
        <v>0</v>
      </c>
      <c r="E41" s="5">
        <f>372</f>
        <v>372</v>
      </c>
      <c r="F41" s="4"/>
      <c r="G41" s="4"/>
      <c r="H41" s="4"/>
      <c r="I41" s="4"/>
      <c r="J41" s="5">
        <f>125.36</f>
        <v>125.36</v>
      </c>
      <c r="K41" s="5">
        <f t="shared" si="7"/>
        <v>497.36</v>
      </c>
      <c r="L41" s="4"/>
      <c r="M41" s="5">
        <f>94.46</f>
        <v>94.46</v>
      </c>
      <c r="N41" s="4"/>
      <c r="O41" s="5">
        <f t="shared" si="8"/>
        <v>591.82000000000005</v>
      </c>
    </row>
    <row r="42" spans="1:15" x14ac:dyDescent="0.3">
      <c r="A42" s="3" t="s">
        <v>49</v>
      </c>
      <c r="B42" s="4"/>
      <c r="C42" s="4"/>
      <c r="D42" s="5">
        <f t="shared" si="6"/>
        <v>0</v>
      </c>
      <c r="E42" s="4"/>
      <c r="F42" s="5">
        <f>15343.29</f>
        <v>15343.29</v>
      </c>
      <c r="G42" s="4"/>
      <c r="H42" s="4"/>
      <c r="I42" s="4"/>
      <c r="J42" s="4"/>
      <c r="K42" s="5">
        <f t="shared" si="7"/>
        <v>15343.29</v>
      </c>
      <c r="L42" s="4"/>
      <c r="M42" s="4"/>
      <c r="N42" s="4"/>
      <c r="O42" s="5">
        <f t="shared" si="8"/>
        <v>15343.29</v>
      </c>
    </row>
    <row r="43" spans="1:15" x14ac:dyDescent="0.3">
      <c r="A43" s="3" t="s">
        <v>50</v>
      </c>
      <c r="B43" s="4"/>
      <c r="C43" s="4"/>
      <c r="D43" s="5">
        <f t="shared" si="6"/>
        <v>0</v>
      </c>
      <c r="E43" s="4"/>
      <c r="F43" s="4"/>
      <c r="G43" s="4"/>
      <c r="H43" s="4"/>
      <c r="I43" s="4"/>
      <c r="J43" s="4"/>
      <c r="K43" s="5">
        <f t="shared" si="7"/>
        <v>0</v>
      </c>
      <c r="L43" s="5">
        <f>500</f>
        <v>500</v>
      </c>
      <c r="M43" s="5">
        <f>-150</f>
        <v>-150</v>
      </c>
      <c r="N43" s="4"/>
      <c r="O43" s="5">
        <f t="shared" si="8"/>
        <v>350</v>
      </c>
    </row>
    <row r="44" spans="1:15" x14ac:dyDescent="0.3">
      <c r="A44" s="3" t="s">
        <v>51</v>
      </c>
      <c r="B44" s="4"/>
      <c r="C44" s="4"/>
      <c r="D44" s="5">
        <f t="shared" si="6"/>
        <v>0</v>
      </c>
      <c r="E44" s="4"/>
      <c r="F44" s="4"/>
      <c r="G44" s="5">
        <f>4929.75</f>
        <v>4929.75</v>
      </c>
      <c r="H44" s="4"/>
      <c r="I44" s="4"/>
      <c r="J44" s="4"/>
      <c r="K44" s="5">
        <f t="shared" si="7"/>
        <v>4929.75</v>
      </c>
      <c r="L44" s="4"/>
      <c r="M44" s="4"/>
      <c r="N44" s="4"/>
      <c r="O44" s="5">
        <f t="shared" si="8"/>
        <v>4929.75</v>
      </c>
    </row>
    <row r="45" spans="1:15" x14ac:dyDescent="0.3">
      <c r="A45" s="3" t="s">
        <v>52</v>
      </c>
      <c r="B45" s="4"/>
      <c r="C45" s="4"/>
      <c r="D45" s="5">
        <f t="shared" si="6"/>
        <v>0</v>
      </c>
      <c r="E45" s="4"/>
      <c r="F45" s="4"/>
      <c r="G45" s="5">
        <f>3339.7</f>
        <v>3339.7</v>
      </c>
      <c r="H45" s="4"/>
      <c r="I45" s="4"/>
      <c r="J45" s="4"/>
      <c r="K45" s="5">
        <f t="shared" si="7"/>
        <v>3339.7</v>
      </c>
      <c r="L45" s="4"/>
      <c r="M45" s="4"/>
      <c r="N45" s="4"/>
      <c r="O45" s="5">
        <f t="shared" si="8"/>
        <v>3339.7</v>
      </c>
    </row>
    <row r="46" spans="1:15" x14ac:dyDescent="0.3">
      <c r="A46" s="3" t="s">
        <v>53</v>
      </c>
      <c r="B46" s="4"/>
      <c r="C46" s="4"/>
      <c r="D46" s="5">
        <f t="shared" si="6"/>
        <v>0</v>
      </c>
      <c r="E46" s="4"/>
      <c r="F46" s="4"/>
      <c r="G46" s="5">
        <f>114.17</f>
        <v>114.17</v>
      </c>
      <c r="H46" s="4"/>
      <c r="I46" s="4"/>
      <c r="J46" s="4"/>
      <c r="K46" s="5">
        <f t="shared" si="7"/>
        <v>114.17</v>
      </c>
      <c r="L46" s="4"/>
      <c r="M46" s="4"/>
      <c r="N46" s="4"/>
      <c r="O46" s="5">
        <f t="shared" si="8"/>
        <v>114.17</v>
      </c>
    </row>
    <row r="47" spans="1:15" x14ac:dyDescent="0.3">
      <c r="A47" s="3" t="s">
        <v>54</v>
      </c>
      <c r="B47" s="4"/>
      <c r="C47" s="4"/>
      <c r="D47" s="5">
        <f t="shared" si="6"/>
        <v>0</v>
      </c>
      <c r="E47" s="4"/>
      <c r="F47" s="4"/>
      <c r="G47" s="5">
        <f>1219.47</f>
        <v>1219.47</v>
      </c>
      <c r="H47" s="4"/>
      <c r="I47" s="4"/>
      <c r="J47" s="4"/>
      <c r="K47" s="5">
        <f t="shared" si="7"/>
        <v>1219.47</v>
      </c>
      <c r="L47" s="4"/>
      <c r="M47" s="4"/>
      <c r="N47" s="4"/>
      <c r="O47" s="5">
        <f t="shared" si="8"/>
        <v>1219.47</v>
      </c>
    </row>
    <row r="48" spans="1:15" x14ac:dyDescent="0.3">
      <c r="A48" s="3" t="s">
        <v>55</v>
      </c>
      <c r="B48" s="6">
        <f>(((B44)+(B45))+(B46))+(B47)</f>
        <v>0</v>
      </c>
      <c r="C48" s="6">
        <f>(((C44)+(C45))+(C46))+(C47)</f>
        <v>0</v>
      </c>
      <c r="D48" s="6">
        <f t="shared" si="6"/>
        <v>0</v>
      </c>
      <c r="E48" s="6">
        <f t="shared" ref="E48:J48" si="9">(((E44)+(E45))+(E46))+(E47)</f>
        <v>0</v>
      </c>
      <c r="F48" s="6">
        <f t="shared" si="9"/>
        <v>0</v>
      </c>
      <c r="G48" s="6">
        <f t="shared" si="9"/>
        <v>9603.09</v>
      </c>
      <c r="H48" s="6">
        <f t="shared" si="9"/>
        <v>0</v>
      </c>
      <c r="I48" s="6">
        <f t="shared" si="9"/>
        <v>0</v>
      </c>
      <c r="J48" s="6">
        <f t="shared" si="9"/>
        <v>0</v>
      </c>
      <c r="K48" s="6">
        <f t="shared" si="7"/>
        <v>9603.09</v>
      </c>
      <c r="L48" s="6">
        <f>(((L44)+(L45))+(L46))+(L47)</f>
        <v>0</v>
      </c>
      <c r="M48" s="6">
        <f>(((M44)+(M45))+(M46))+(M47)</f>
        <v>0</v>
      </c>
      <c r="N48" s="6">
        <f>(((N44)+(N45))+(N46))+(N47)</f>
        <v>0</v>
      </c>
      <c r="O48" s="6">
        <f t="shared" si="8"/>
        <v>9603.09</v>
      </c>
    </row>
    <row r="49" spans="1:15" x14ac:dyDescent="0.3">
      <c r="A49" s="3" t="s">
        <v>56</v>
      </c>
      <c r="B49" s="4"/>
      <c r="C49" s="4"/>
      <c r="D49" s="5">
        <f t="shared" si="6"/>
        <v>0</v>
      </c>
      <c r="E49" s="4"/>
      <c r="F49" s="4"/>
      <c r="G49" s="4"/>
      <c r="H49" s="4"/>
      <c r="I49" s="4"/>
      <c r="J49" s="4"/>
      <c r="K49" s="5">
        <f t="shared" si="7"/>
        <v>0</v>
      </c>
      <c r="L49" s="4"/>
      <c r="M49" s="5">
        <f>3953.47</f>
        <v>3953.47</v>
      </c>
      <c r="N49" s="4"/>
      <c r="O49" s="5">
        <f t="shared" si="8"/>
        <v>3953.47</v>
      </c>
    </row>
    <row r="50" spans="1:15" x14ac:dyDescent="0.3">
      <c r="A50" s="3" t="s">
        <v>57</v>
      </c>
      <c r="B50" s="4"/>
      <c r="C50" s="4"/>
      <c r="D50" s="5">
        <f t="shared" si="6"/>
        <v>0</v>
      </c>
      <c r="E50" s="4"/>
      <c r="F50" s="4"/>
      <c r="G50" s="5">
        <f>10000</f>
        <v>10000</v>
      </c>
      <c r="H50" s="4"/>
      <c r="I50" s="4"/>
      <c r="J50" s="4"/>
      <c r="K50" s="5">
        <f t="shared" si="7"/>
        <v>10000</v>
      </c>
      <c r="L50" s="5">
        <f>5000</f>
        <v>5000</v>
      </c>
      <c r="M50" s="4"/>
      <c r="N50" s="4"/>
      <c r="O50" s="5">
        <f t="shared" si="8"/>
        <v>15000</v>
      </c>
    </row>
    <row r="51" spans="1:15" x14ac:dyDescent="0.3">
      <c r="A51" s="3" t="s">
        <v>58</v>
      </c>
      <c r="B51" s="4"/>
      <c r="C51" s="4"/>
      <c r="D51" s="5">
        <f t="shared" si="6"/>
        <v>0</v>
      </c>
      <c r="E51" s="5">
        <f>99.99</f>
        <v>99.99</v>
      </c>
      <c r="F51" s="4"/>
      <c r="G51" s="4"/>
      <c r="H51" s="4"/>
      <c r="I51" s="4"/>
      <c r="J51" s="4"/>
      <c r="K51" s="5">
        <f t="shared" si="7"/>
        <v>99.99</v>
      </c>
      <c r="L51" s="4"/>
      <c r="M51" s="4"/>
      <c r="N51" s="4"/>
      <c r="O51" s="5">
        <f t="shared" si="8"/>
        <v>99.99</v>
      </c>
    </row>
    <row r="52" spans="1:15" x14ac:dyDescent="0.3">
      <c r="A52" s="3" t="s">
        <v>59</v>
      </c>
      <c r="B52" s="4"/>
      <c r="C52" s="4"/>
      <c r="D52" s="5">
        <f t="shared" si="6"/>
        <v>0</v>
      </c>
      <c r="E52" s="5">
        <f>1499</f>
        <v>1499</v>
      </c>
      <c r="F52" s="5">
        <f>150</f>
        <v>150</v>
      </c>
      <c r="G52" s="4"/>
      <c r="H52" s="4"/>
      <c r="I52" s="4"/>
      <c r="J52" s="4"/>
      <c r="K52" s="5">
        <f t="shared" si="7"/>
        <v>1649</v>
      </c>
      <c r="L52" s="4"/>
      <c r="M52" s="5">
        <f>10066</f>
        <v>10066</v>
      </c>
      <c r="N52" s="4"/>
      <c r="O52" s="5">
        <f t="shared" si="8"/>
        <v>11715</v>
      </c>
    </row>
    <row r="53" spans="1:15" x14ac:dyDescent="0.3">
      <c r="A53" s="3" t="s">
        <v>60</v>
      </c>
      <c r="B53" s="4"/>
      <c r="C53" s="4"/>
      <c r="D53" s="5">
        <f t="shared" si="6"/>
        <v>0</v>
      </c>
      <c r="E53" s="4"/>
      <c r="F53" s="4"/>
      <c r="G53" s="4"/>
      <c r="H53" s="4"/>
      <c r="I53" s="4"/>
      <c r="J53" s="4"/>
      <c r="K53" s="5">
        <f t="shared" si="7"/>
        <v>0</v>
      </c>
      <c r="L53" s="4"/>
      <c r="M53" s="5">
        <f>3573.31</f>
        <v>3573.31</v>
      </c>
      <c r="N53" s="4"/>
      <c r="O53" s="5">
        <f t="shared" si="8"/>
        <v>3573.31</v>
      </c>
    </row>
    <row r="54" spans="1:15" x14ac:dyDescent="0.3">
      <c r="A54" s="3" t="s">
        <v>61</v>
      </c>
      <c r="B54" s="4"/>
      <c r="C54" s="5">
        <f>32.66</f>
        <v>32.659999999999997</v>
      </c>
      <c r="D54" s="5">
        <f t="shared" si="6"/>
        <v>32.659999999999997</v>
      </c>
      <c r="E54" s="4"/>
      <c r="F54" s="4"/>
      <c r="G54" s="4"/>
      <c r="H54" s="4"/>
      <c r="I54" s="5">
        <f>562.32</f>
        <v>562.32000000000005</v>
      </c>
      <c r="J54" s="4"/>
      <c r="K54" s="5">
        <f t="shared" si="7"/>
        <v>562.32000000000005</v>
      </c>
      <c r="L54" s="5">
        <f>243.2</f>
        <v>243.2</v>
      </c>
      <c r="M54" s="5">
        <f>26896.4</f>
        <v>26896.400000000001</v>
      </c>
      <c r="N54" s="4"/>
      <c r="O54" s="5">
        <f t="shared" si="8"/>
        <v>27734.58</v>
      </c>
    </row>
    <row r="55" spans="1:15" x14ac:dyDescent="0.3">
      <c r="A55" s="3" t="s">
        <v>62</v>
      </c>
      <c r="B55" s="4"/>
      <c r="C55" s="4"/>
      <c r="D55" s="5">
        <f t="shared" si="6"/>
        <v>0</v>
      </c>
      <c r="E55" s="4"/>
      <c r="F55" s="4"/>
      <c r="G55" s="4"/>
      <c r="H55" s="4"/>
      <c r="I55" s="4"/>
      <c r="J55" s="4"/>
      <c r="K55" s="5">
        <f t="shared" si="7"/>
        <v>0</v>
      </c>
      <c r="L55" s="4"/>
      <c r="M55" s="5">
        <f>3870</f>
        <v>3870</v>
      </c>
      <c r="N55" s="4"/>
      <c r="O55" s="5">
        <f t="shared" si="8"/>
        <v>3870</v>
      </c>
    </row>
    <row r="56" spans="1:15" x14ac:dyDescent="0.3">
      <c r="A56" s="3" t="s">
        <v>63</v>
      </c>
      <c r="B56" s="4"/>
      <c r="C56" s="4"/>
      <c r="D56" s="5">
        <f t="shared" si="6"/>
        <v>0</v>
      </c>
      <c r="E56" s="4"/>
      <c r="F56" s="4"/>
      <c r="G56" s="4"/>
      <c r="H56" s="4"/>
      <c r="I56" s="4"/>
      <c r="J56" s="5">
        <f>780</f>
        <v>780</v>
      </c>
      <c r="K56" s="5">
        <f t="shared" si="7"/>
        <v>780</v>
      </c>
      <c r="L56" s="4"/>
      <c r="M56" s="4"/>
      <c r="N56" s="4"/>
      <c r="O56" s="5">
        <f t="shared" si="8"/>
        <v>780</v>
      </c>
    </row>
    <row r="57" spans="1:15" x14ac:dyDescent="0.3">
      <c r="A57" s="3" t="s">
        <v>64</v>
      </c>
      <c r="B57" s="4"/>
      <c r="C57" s="4"/>
      <c r="D57" s="5">
        <f t="shared" si="6"/>
        <v>0</v>
      </c>
      <c r="E57" s="5">
        <f>1323</f>
        <v>1323</v>
      </c>
      <c r="F57" s="5">
        <f>-1323</f>
        <v>-1323</v>
      </c>
      <c r="G57" s="4"/>
      <c r="H57" s="4"/>
      <c r="I57" s="4"/>
      <c r="J57" s="5">
        <f>1626</f>
        <v>1626</v>
      </c>
      <c r="K57" s="5">
        <f t="shared" si="7"/>
        <v>1626</v>
      </c>
      <c r="L57" s="4"/>
      <c r="M57" s="4"/>
      <c r="N57" s="4"/>
      <c r="O57" s="5">
        <f t="shared" si="8"/>
        <v>1626</v>
      </c>
    </row>
    <row r="58" spans="1:15" x14ac:dyDescent="0.3">
      <c r="A58" s="3" t="s">
        <v>65</v>
      </c>
      <c r="B58" s="6">
        <f>((B55)+(B56))+(B57)</f>
        <v>0</v>
      </c>
      <c r="C58" s="6">
        <f>((C55)+(C56))+(C57)</f>
        <v>0</v>
      </c>
      <c r="D58" s="6">
        <f t="shared" si="6"/>
        <v>0</v>
      </c>
      <c r="E58" s="6">
        <f t="shared" ref="E58:J58" si="10">((E55)+(E56))+(E57)</f>
        <v>1323</v>
      </c>
      <c r="F58" s="6">
        <f t="shared" si="10"/>
        <v>-1323</v>
      </c>
      <c r="G58" s="6">
        <f t="shared" si="10"/>
        <v>0</v>
      </c>
      <c r="H58" s="6">
        <f t="shared" si="10"/>
        <v>0</v>
      </c>
      <c r="I58" s="6">
        <f t="shared" si="10"/>
        <v>0</v>
      </c>
      <c r="J58" s="6">
        <f t="shared" si="10"/>
        <v>2406</v>
      </c>
      <c r="K58" s="6">
        <f t="shared" si="7"/>
        <v>2406</v>
      </c>
      <c r="L58" s="6">
        <f>((L55)+(L56))+(L57)</f>
        <v>0</v>
      </c>
      <c r="M58" s="6">
        <f>((M55)+(M56))+(M57)</f>
        <v>3870</v>
      </c>
      <c r="N58" s="6">
        <f>((N55)+(N56))+(N57)</f>
        <v>0</v>
      </c>
      <c r="O58" s="6">
        <f t="shared" si="8"/>
        <v>6276</v>
      </c>
    </row>
    <row r="59" spans="1:15" x14ac:dyDescent="0.3">
      <c r="A59" s="3" t="s">
        <v>66</v>
      </c>
      <c r="B59" s="4"/>
      <c r="C59" s="4"/>
      <c r="D59" s="5">
        <f t="shared" si="6"/>
        <v>0</v>
      </c>
      <c r="E59" s="5">
        <f>1910.14</f>
        <v>1910.14</v>
      </c>
      <c r="F59" s="5">
        <f>209.01</f>
        <v>209.01</v>
      </c>
      <c r="G59" s="4"/>
      <c r="H59" s="4"/>
      <c r="I59" s="5">
        <f>945</f>
        <v>945</v>
      </c>
      <c r="J59" s="4"/>
      <c r="K59" s="5">
        <f t="shared" si="7"/>
        <v>3064.15</v>
      </c>
      <c r="L59" s="4"/>
      <c r="M59" s="5">
        <f>3687.96</f>
        <v>3687.96</v>
      </c>
      <c r="N59" s="4"/>
      <c r="O59" s="5">
        <f t="shared" si="8"/>
        <v>6752.1100000000006</v>
      </c>
    </row>
    <row r="60" spans="1:15" x14ac:dyDescent="0.3">
      <c r="A60" s="3" t="s">
        <v>67</v>
      </c>
      <c r="B60" s="4"/>
      <c r="C60" s="4"/>
      <c r="D60" s="5">
        <f t="shared" si="6"/>
        <v>0</v>
      </c>
      <c r="E60" s="5">
        <f>1110</f>
        <v>1110</v>
      </c>
      <c r="F60" s="4"/>
      <c r="G60" s="4"/>
      <c r="H60" s="4"/>
      <c r="I60" s="4"/>
      <c r="J60" s="5">
        <f>78650</f>
        <v>78650</v>
      </c>
      <c r="K60" s="5">
        <f t="shared" si="7"/>
        <v>79760</v>
      </c>
      <c r="L60" s="4"/>
      <c r="M60" s="4"/>
      <c r="N60" s="4"/>
      <c r="O60" s="5">
        <f t="shared" si="8"/>
        <v>79760</v>
      </c>
    </row>
    <row r="61" spans="1:15" x14ac:dyDescent="0.3">
      <c r="A61" s="3" t="s">
        <v>68</v>
      </c>
      <c r="B61" s="4"/>
      <c r="C61" s="4"/>
      <c r="D61" s="5">
        <f t="shared" si="6"/>
        <v>0</v>
      </c>
      <c r="E61" s="5">
        <f>2236.5</f>
        <v>2236.5</v>
      </c>
      <c r="F61" s="4"/>
      <c r="G61" s="4"/>
      <c r="H61" s="4"/>
      <c r="I61" s="4"/>
      <c r="J61" s="5">
        <f>6398.97</f>
        <v>6398.97</v>
      </c>
      <c r="K61" s="5">
        <f t="shared" si="7"/>
        <v>8635.4700000000012</v>
      </c>
      <c r="L61" s="4"/>
      <c r="M61" s="5">
        <f>25</f>
        <v>25</v>
      </c>
      <c r="N61" s="4"/>
      <c r="O61" s="5">
        <f t="shared" si="8"/>
        <v>8660.4700000000012</v>
      </c>
    </row>
    <row r="62" spans="1:15" x14ac:dyDescent="0.3">
      <c r="A62" s="3" t="s">
        <v>69</v>
      </c>
      <c r="B62" s="4"/>
      <c r="C62" s="5">
        <f>38740.11</f>
        <v>38740.11</v>
      </c>
      <c r="D62" s="5">
        <f t="shared" si="6"/>
        <v>38740.11</v>
      </c>
      <c r="E62" s="4"/>
      <c r="F62" s="4"/>
      <c r="G62" s="4"/>
      <c r="H62" s="4"/>
      <c r="I62" s="4"/>
      <c r="J62" s="4"/>
      <c r="K62" s="5">
        <f t="shared" si="7"/>
        <v>0</v>
      </c>
      <c r="L62" s="5">
        <f>7397.7</f>
        <v>7397.7</v>
      </c>
      <c r="M62" s="5">
        <f>5756.04</f>
        <v>5756.04</v>
      </c>
      <c r="N62" s="4"/>
      <c r="O62" s="5">
        <f t="shared" si="8"/>
        <v>51893.85</v>
      </c>
    </row>
    <row r="63" spans="1:15" x14ac:dyDescent="0.3">
      <c r="A63" s="3" t="s">
        <v>70</v>
      </c>
      <c r="B63" s="4"/>
      <c r="C63" s="4"/>
      <c r="D63" s="5">
        <f t="shared" si="6"/>
        <v>0</v>
      </c>
      <c r="E63" s="5">
        <f>183.23</f>
        <v>183.23</v>
      </c>
      <c r="F63" s="4"/>
      <c r="G63" s="4"/>
      <c r="H63" s="4"/>
      <c r="I63" s="5">
        <f>615.82</f>
        <v>615.82000000000005</v>
      </c>
      <c r="J63" s="4"/>
      <c r="K63" s="5">
        <f t="shared" si="7"/>
        <v>799.05000000000007</v>
      </c>
      <c r="L63" s="5">
        <f>268</f>
        <v>268</v>
      </c>
      <c r="M63" s="5">
        <f>9869.11</f>
        <v>9869.11</v>
      </c>
      <c r="N63" s="4"/>
      <c r="O63" s="5">
        <f t="shared" si="8"/>
        <v>10936.16</v>
      </c>
    </row>
    <row r="64" spans="1:15" x14ac:dyDescent="0.3">
      <c r="A64" s="3" t="s">
        <v>71</v>
      </c>
      <c r="B64" s="4"/>
      <c r="C64" s="4"/>
      <c r="D64" s="5">
        <f t="shared" si="6"/>
        <v>0</v>
      </c>
      <c r="E64" s="5">
        <f>196.35</f>
        <v>196.35</v>
      </c>
      <c r="F64" s="4"/>
      <c r="G64" s="4"/>
      <c r="H64" s="4"/>
      <c r="I64" s="5">
        <f>25</f>
        <v>25</v>
      </c>
      <c r="J64" s="4"/>
      <c r="K64" s="5">
        <f t="shared" si="7"/>
        <v>221.35</v>
      </c>
      <c r="L64" s="4"/>
      <c r="M64" s="5">
        <f>10</f>
        <v>10</v>
      </c>
      <c r="N64" s="4"/>
      <c r="O64" s="5">
        <f t="shared" si="8"/>
        <v>231.35</v>
      </c>
    </row>
    <row r="65" spans="1:15" x14ac:dyDescent="0.3">
      <c r="A65" s="3" t="s">
        <v>72</v>
      </c>
      <c r="B65" s="4"/>
      <c r="C65" s="4"/>
      <c r="D65" s="5">
        <f t="shared" si="6"/>
        <v>0</v>
      </c>
      <c r="E65" s="4"/>
      <c r="F65" s="4"/>
      <c r="G65" s="4"/>
      <c r="H65" s="4"/>
      <c r="I65" s="4"/>
      <c r="J65" s="4"/>
      <c r="K65" s="5">
        <f t="shared" si="7"/>
        <v>0</v>
      </c>
      <c r="L65" s="4"/>
      <c r="M65" s="5">
        <f>11016.43</f>
        <v>11016.43</v>
      </c>
      <c r="N65" s="4"/>
      <c r="O65" s="5">
        <f t="shared" si="8"/>
        <v>11016.43</v>
      </c>
    </row>
    <row r="66" spans="1:15" x14ac:dyDescent="0.3">
      <c r="A66" s="3" t="s">
        <v>73</v>
      </c>
      <c r="B66" s="4"/>
      <c r="C66" s="5">
        <f>419.99</f>
        <v>419.99</v>
      </c>
      <c r="D66" s="5">
        <f t="shared" si="6"/>
        <v>419.99</v>
      </c>
      <c r="E66" s="4"/>
      <c r="F66" s="4"/>
      <c r="G66" s="4"/>
      <c r="H66" s="4"/>
      <c r="I66" s="5">
        <f>332.58</f>
        <v>332.58</v>
      </c>
      <c r="J66" s="4"/>
      <c r="K66" s="5">
        <f t="shared" si="7"/>
        <v>332.58</v>
      </c>
      <c r="L66" s="5">
        <f>2254.74</f>
        <v>2254.7399999999998</v>
      </c>
      <c r="M66" s="5">
        <f>4138.23</f>
        <v>4138.2299999999996</v>
      </c>
      <c r="N66" s="4"/>
      <c r="O66" s="5">
        <f t="shared" si="8"/>
        <v>7145.5399999999991</v>
      </c>
    </row>
    <row r="67" spans="1:15" x14ac:dyDescent="0.3">
      <c r="A67" s="3" t="s">
        <v>74</v>
      </c>
      <c r="B67" s="4"/>
      <c r="C67" s="4"/>
      <c r="D67" s="5">
        <f t="shared" si="6"/>
        <v>0</v>
      </c>
      <c r="E67" s="5">
        <f>1018.17</f>
        <v>1018.17</v>
      </c>
      <c r="F67" s="4"/>
      <c r="G67" s="4"/>
      <c r="H67" s="4"/>
      <c r="I67" s="5">
        <f>2848.97</f>
        <v>2848.97</v>
      </c>
      <c r="J67" s="4"/>
      <c r="K67" s="5">
        <f t="shared" si="7"/>
        <v>3867.14</v>
      </c>
      <c r="L67" s="4"/>
      <c r="M67" s="5">
        <f>16586.04</f>
        <v>16586.04</v>
      </c>
      <c r="N67" s="4"/>
      <c r="O67" s="5">
        <f t="shared" si="8"/>
        <v>20453.18</v>
      </c>
    </row>
    <row r="68" spans="1:15" x14ac:dyDescent="0.3">
      <c r="A68" s="3" t="s">
        <v>75</v>
      </c>
      <c r="B68" s="4"/>
      <c r="C68" s="4"/>
      <c r="D68" s="5">
        <f t="shared" si="6"/>
        <v>0</v>
      </c>
      <c r="E68" s="5">
        <f>627</f>
        <v>627</v>
      </c>
      <c r="F68" s="4"/>
      <c r="G68" s="4"/>
      <c r="H68" s="5">
        <f>87</f>
        <v>87</v>
      </c>
      <c r="I68" s="4"/>
      <c r="J68" s="4"/>
      <c r="K68" s="5">
        <f t="shared" si="7"/>
        <v>714</v>
      </c>
      <c r="L68" s="5">
        <f>590.8</f>
        <v>590.79999999999995</v>
      </c>
      <c r="M68" s="5">
        <f>12795.75</f>
        <v>12795.75</v>
      </c>
      <c r="N68" s="4"/>
      <c r="O68" s="5">
        <f t="shared" si="8"/>
        <v>14100.55</v>
      </c>
    </row>
    <row r="69" spans="1:15" x14ac:dyDescent="0.3">
      <c r="A69" s="3" t="s">
        <v>76</v>
      </c>
      <c r="B69" s="4"/>
      <c r="C69" s="4"/>
      <c r="D69" s="5">
        <f t="shared" si="6"/>
        <v>0</v>
      </c>
      <c r="E69" s="4"/>
      <c r="F69" s="4"/>
      <c r="G69" s="4"/>
      <c r="H69" s="4"/>
      <c r="I69" s="4"/>
      <c r="J69" s="4"/>
      <c r="K69" s="5">
        <f t="shared" si="7"/>
        <v>0</v>
      </c>
      <c r="L69" s="4"/>
      <c r="M69" s="5">
        <f>62509.77</f>
        <v>62509.77</v>
      </c>
      <c r="N69" s="4"/>
      <c r="O69" s="5">
        <f t="shared" si="8"/>
        <v>62509.77</v>
      </c>
    </row>
    <row r="70" spans="1:15" x14ac:dyDescent="0.3">
      <c r="A70" s="3" t="s">
        <v>77</v>
      </c>
      <c r="B70" s="4"/>
      <c r="C70" s="4"/>
      <c r="D70" s="5">
        <f t="shared" si="6"/>
        <v>0</v>
      </c>
      <c r="E70" s="4"/>
      <c r="F70" s="4"/>
      <c r="G70" s="4"/>
      <c r="H70" s="4"/>
      <c r="I70" s="4"/>
      <c r="J70" s="4"/>
      <c r="K70" s="5">
        <f t="shared" si="7"/>
        <v>0</v>
      </c>
      <c r="L70" s="4"/>
      <c r="M70" s="4"/>
      <c r="N70" s="4"/>
      <c r="O70" s="5">
        <f t="shared" si="8"/>
        <v>0</v>
      </c>
    </row>
    <row r="71" spans="1:15" x14ac:dyDescent="0.3">
      <c r="A71" s="3" t="s">
        <v>78</v>
      </c>
      <c r="B71" s="4"/>
      <c r="C71" s="4"/>
      <c r="D71" s="5">
        <f t="shared" si="6"/>
        <v>0</v>
      </c>
      <c r="E71" s="4"/>
      <c r="F71" s="4"/>
      <c r="G71" s="4"/>
      <c r="H71" s="4"/>
      <c r="I71" s="4"/>
      <c r="J71" s="4"/>
      <c r="K71" s="5">
        <f t="shared" si="7"/>
        <v>0</v>
      </c>
      <c r="L71" s="4"/>
      <c r="M71" s="4"/>
      <c r="N71" s="4"/>
      <c r="O71" s="5">
        <f t="shared" si="8"/>
        <v>0</v>
      </c>
    </row>
    <row r="72" spans="1:15" x14ac:dyDescent="0.3">
      <c r="A72" s="3" t="s">
        <v>79</v>
      </c>
      <c r="B72" s="4"/>
      <c r="C72" s="4"/>
      <c r="D72" s="5">
        <f t="shared" si="6"/>
        <v>0</v>
      </c>
      <c r="E72" s="4"/>
      <c r="F72" s="4"/>
      <c r="G72" s="4"/>
      <c r="H72" s="4"/>
      <c r="I72" s="4"/>
      <c r="J72" s="4"/>
      <c r="K72" s="5">
        <f t="shared" si="7"/>
        <v>0</v>
      </c>
      <c r="L72" s="4"/>
      <c r="M72" s="4"/>
      <c r="N72" s="4"/>
      <c r="O72" s="5">
        <f t="shared" si="8"/>
        <v>0</v>
      </c>
    </row>
    <row r="73" spans="1:15" x14ac:dyDescent="0.3">
      <c r="A73" s="3" t="s">
        <v>80</v>
      </c>
      <c r="B73" s="4"/>
      <c r="C73" s="4"/>
      <c r="D73" s="5">
        <f t="shared" si="6"/>
        <v>0</v>
      </c>
      <c r="E73" s="4"/>
      <c r="F73" s="4"/>
      <c r="G73" s="4"/>
      <c r="H73" s="4"/>
      <c r="I73" s="4"/>
      <c r="J73" s="4"/>
      <c r="K73" s="5">
        <f t="shared" si="7"/>
        <v>0</v>
      </c>
      <c r="L73" s="4"/>
      <c r="M73" s="4"/>
      <c r="N73" s="4"/>
      <c r="O73" s="5">
        <f t="shared" si="8"/>
        <v>0</v>
      </c>
    </row>
    <row r="74" spans="1:15" x14ac:dyDescent="0.3">
      <c r="A74" s="3" t="s">
        <v>81</v>
      </c>
      <c r="B74" s="4"/>
      <c r="C74" s="4"/>
      <c r="D74" s="5">
        <f t="shared" si="6"/>
        <v>0</v>
      </c>
      <c r="E74" s="4"/>
      <c r="F74" s="4"/>
      <c r="G74" s="4"/>
      <c r="H74" s="4"/>
      <c r="I74" s="4"/>
      <c r="J74" s="4"/>
      <c r="K74" s="5">
        <f t="shared" si="7"/>
        <v>0</v>
      </c>
      <c r="L74" s="4"/>
      <c r="M74" s="4"/>
      <c r="N74" s="4"/>
      <c r="O74" s="5">
        <f t="shared" si="8"/>
        <v>0</v>
      </c>
    </row>
    <row r="75" spans="1:15" x14ac:dyDescent="0.3">
      <c r="A75" s="3" t="s">
        <v>82</v>
      </c>
      <c r="B75" s="4"/>
      <c r="C75" s="4"/>
      <c r="D75" s="5">
        <f t="shared" si="6"/>
        <v>0</v>
      </c>
      <c r="E75" s="4"/>
      <c r="F75" s="4"/>
      <c r="G75" s="4"/>
      <c r="H75" s="4"/>
      <c r="I75" s="4"/>
      <c r="J75" s="4"/>
      <c r="K75" s="5">
        <f t="shared" si="7"/>
        <v>0</v>
      </c>
      <c r="L75" s="4"/>
      <c r="M75" s="4"/>
      <c r="N75" s="4"/>
      <c r="O75" s="5">
        <f t="shared" si="8"/>
        <v>0</v>
      </c>
    </row>
    <row r="76" spans="1:15" x14ac:dyDescent="0.3">
      <c r="A76" s="3" t="s">
        <v>83</v>
      </c>
      <c r="B76" s="4"/>
      <c r="C76" s="4"/>
      <c r="D76" s="5">
        <f t="shared" si="6"/>
        <v>0</v>
      </c>
      <c r="E76" s="4"/>
      <c r="F76" s="4"/>
      <c r="G76" s="4"/>
      <c r="H76" s="4"/>
      <c r="I76" s="4"/>
      <c r="J76" s="4"/>
      <c r="K76" s="5">
        <f t="shared" si="7"/>
        <v>0</v>
      </c>
      <c r="L76" s="4"/>
      <c r="M76" s="4"/>
      <c r="N76" s="4"/>
      <c r="O76" s="5">
        <f t="shared" si="8"/>
        <v>0</v>
      </c>
    </row>
    <row r="77" spans="1:15" x14ac:dyDescent="0.3">
      <c r="A77" s="3" t="s">
        <v>84</v>
      </c>
      <c r="B77" s="4"/>
      <c r="C77" s="4"/>
      <c r="D77" s="5">
        <f t="shared" si="6"/>
        <v>0</v>
      </c>
      <c r="E77" s="4"/>
      <c r="F77" s="4"/>
      <c r="G77" s="4"/>
      <c r="H77" s="4"/>
      <c r="I77" s="4"/>
      <c r="J77" s="4"/>
      <c r="K77" s="5">
        <f t="shared" si="7"/>
        <v>0</v>
      </c>
      <c r="L77" s="4"/>
      <c r="M77" s="4"/>
      <c r="N77" s="4"/>
      <c r="O77" s="5">
        <f t="shared" si="8"/>
        <v>0</v>
      </c>
    </row>
    <row r="78" spans="1:15" x14ac:dyDescent="0.3">
      <c r="A78" s="3" t="s">
        <v>85</v>
      </c>
      <c r="B78" s="4"/>
      <c r="C78" s="4"/>
      <c r="D78" s="5">
        <f t="shared" si="6"/>
        <v>0</v>
      </c>
      <c r="E78" s="4"/>
      <c r="F78" s="4"/>
      <c r="G78" s="4"/>
      <c r="H78" s="4"/>
      <c r="I78" s="4"/>
      <c r="J78" s="4"/>
      <c r="K78" s="5">
        <f t="shared" si="7"/>
        <v>0</v>
      </c>
      <c r="L78" s="4"/>
      <c r="M78" s="4"/>
      <c r="N78" s="4"/>
      <c r="O78" s="5">
        <f t="shared" si="8"/>
        <v>0</v>
      </c>
    </row>
    <row r="79" spans="1:15" x14ac:dyDescent="0.3">
      <c r="A79" s="3" t="s">
        <v>86</v>
      </c>
      <c r="B79" s="4"/>
      <c r="C79" s="4"/>
      <c r="D79" s="5">
        <f t="shared" si="6"/>
        <v>0</v>
      </c>
      <c r="E79" s="4"/>
      <c r="F79" s="4"/>
      <c r="G79" s="4"/>
      <c r="H79" s="4"/>
      <c r="I79" s="4"/>
      <c r="J79" s="4"/>
      <c r="K79" s="5">
        <f t="shared" si="7"/>
        <v>0</v>
      </c>
      <c r="L79" s="4"/>
      <c r="M79" s="4"/>
      <c r="N79" s="4"/>
      <c r="O79" s="5">
        <f t="shared" si="8"/>
        <v>0</v>
      </c>
    </row>
    <row r="80" spans="1:15" x14ac:dyDescent="0.3">
      <c r="A80" s="3" t="s">
        <v>87</v>
      </c>
      <c r="B80" s="4"/>
      <c r="C80" s="4"/>
      <c r="D80" s="5">
        <f t="shared" si="6"/>
        <v>0</v>
      </c>
      <c r="E80" s="4"/>
      <c r="F80" s="4"/>
      <c r="G80" s="4"/>
      <c r="H80" s="4"/>
      <c r="I80" s="4"/>
      <c r="J80" s="4"/>
      <c r="K80" s="5">
        <f t="shared" si="7"/>
        <v>0</v>
      </c>
      <c r="L80" s="4"/>
      <c r="M80" s="4"/>
      <c r="N80" s="4"/>
      <c r="O80" s="5">
        <f t="shared" si="8"/>
        <v>0</v>
      </c>
    </row>
    <row r="81" spans="1:15" x14ac:dyDescent="0.3">
      <c r="A81" s="3" t="s">
        <v>88</v>
      </c>
      <c r="B81" s="4"/>
      <c r="C81" s="4"/>
      <c r="D81" s="5">
        <f t="shared" si="6"/>
        <v>0</v>
      </c>
      <c r="E81" s="4"/>
      <c r="F81" s="4"/>
      <c r="G81" s="4"/>
      <c r="H81" s="4"/>
      <c r="I81" s="4"/>
      <c r="J81" s="4"/>
      <c r="K81" s="5">
        <f t="shared" si="7"/>
        <v>0</v>
      </c>
      <c r="L81" s="4"/>
      <c r="M81" s="4"/>
      <c r="N81" s="4"/>
      <c r="O81" s="5">
        <f t="shared" si="8"/>
        <v>0</v>
      </c>
    </row>
    <row r="82" spans="1:15" x14ac:dyDescent="0.3">
      <c r="A82" s="3" t="s">
        <v>89</v>
      </c>
      <c r="B82" s="4"/>
      <c r="C82" s="4"/>
      <c r="D82" s="5">
        <f t="shared" si="6"/>
        <v>0</v>
      </c>
      <c r="E82" s="4"/>
      <c r="F82" s="4"/>
      <c r="G82" s="4"/>
      <c r="H82" s="4"/>
      <c r="I82" s="4"/>
      <c r="J82" s="4"/>
      <c r="K82" s="5">
        <f t="shared" si="7"/>
        <v>0</v>
      </c>
      <c r="L82" s="4"/>
      <c r="M82" s="4"/>
      <c r="N82" s="4"/>
      <c r="O82" s="5">
        <f t="shared" si="8"/>
        <v>0</v>
      </c>
    </row>
    <row r="83" spans="1:15" x14ac:dyDescent="0.3">
      <c r="A83" s="3" t="s">
        <v>90</v>
      </c>
      <c r="B83" s="6">
        <f>(((((((((((((((((((((((((((((((((((((B38)+(B39))+(B40))+(B41))+(B42))+(B43))+(B48))+(B49))+(B50))+(B51))+(B52))+(B53))+(B54))+(B58))+(B59))+(B60))+(B61))+(B62))+(B63))+(B64))+(B65))+(B66))+(B67))+(B68))+(B69))+(B70))+(B71))+(B72))+(B73))+(B74))+(B75))+(B76))+(B77))+(B78))+(B79))+(B80))+(B81))+(B82)</f>
        <v>0</v>
      </c>
      <c r="C83" s="6">
        <f>(((((((((((((((((((((((((((((((((((((C38)+(C39))+(C40))+(C41))+(C42))+(C43))+(C48))+(C49))+(C50))+(C51))+(C52))+(C53))+(C54))+(C58))+(C59))+(C60))+(C61))+(C62))+(C63))+(C64))+(C65))+(C66))+(C67))+(C68))+(C69))+(C70))+(C71))+(C72))+(C73))+(C74))+(C75))+(C76))+(C77))+(C78))+(C79))+(C80))+(C81))+(C82)</f>
        <v>39192.76</v>
      </c>
      <c r="D83" s="6">
        <f t="shared" si="6"/>
        <v>39192.76</v>
      </c>
      <c r="E83" s="6">
        <f t="shared" ref="E83:J83" si="11">(((((((((((((((((((((((((((((((((((((E38)+(E39))+(E40))+(E41))+(E42))+(E43))+(E48))+(E49))+(E50))+(E51))+(E52))+(E53))+(E54))+(E58))+(E59))+(E60))+(E61))+(E62))+(E63))+(E64))+(E65))+(E66))+(E67))+(E68))+(E69))+(E70))+(E71))+(E72))+(E73))+(E74))+(E75))+(E76))+(E77))+(E78))+(E79))+(E80))+(E81))+(E82)</f>
        <v>13465.150000000001</v>
      </c>
      <c r="F83" s="6">
        <f t="shared" si="11"/>
        <v>14379.300000000001</v>
      </c>
      <c r="G83" s="6">
        <f t="shared" si="11"/>
        <v>19603.09</v>
      </c>
      <c r="H83" s="6">
        <f t="shared" si="11"/>
        <v>87</v>
      </c>
      <c r="I83" s="6">
        <f t="shared" si="11"/>
        <v>5695.5</v>
      </c>
      <c r="J83" s="6">
        <f t="shared" si="11"/>
        <v>98417.64</v>
      </c>
      <c r="K83" s="6">
        <f t="shared" si="7"/>
        <v>151647.67999999999</v>
      </c>
      <c r="L83" s="6">
        <f>(((((((((((((((((((((((((((((((((((((L38)+(L39))+(L40))+(L41))+(L42))+(L43))+(L48))+(L49))+(L50))+(L51))+(L52))+(L53))+(L54))+(L58))+(L59))+(L60))+(L61))+(L62))+(L63))+(L64))+(L65))+(L66))+(L67))+(L68))+(L69))+(L70))+(L71))+(L72))+(L73))+(L74))+(L75))+(L76))+(L77))+(L78))+(L79))+(L80))+(L81))+(L82)</f>
        <v>18020.719999999998</v>
      </c>
      <c r="M83" s="6">
        <f>(((((((((((((((((((((((((((((((((((((M38)+(M39))+(M40))+(M41))+(M42))+(M43))+(M48))+(M49))+(M50))+(M51))+(M52))+(M53))+(M54))+(M58))+(M59))+(M60))+(M61))+(M62))+(M63))+(M64))+(M65))+(M66))+(M67))+(M68))+(M69))+(M70))+(M71))+(M72))+(M73))+(M74))+(M75))+(M76))+(M77))+(M78))+(M79))+(M80))+(M81))+(M82)</f>
        <v>175731.69999999998</v>
      </c>
      <c r="N83" s="6">
        <f>(((((((((((((((((((((((((((((((((((((N38)+(N39))+(N40))+(N41))+(N42))+(N43))+(N48))+(N49))+(N50))+(N51))+(N52))+(N53))+(N54))+(N58))+(N59))+(N60))+(N61))+(N62))+(N63))+(N64))+(N65))+(N66))+(N67))+(N68))+(N69))+(N70))+(N71))+(N72))+(N73))+(N74))+(N75))+(N76))+(N77))+(N78))+(N79))+(N80))+(N81))+(N82)</f>
        <v>0</v>
      </c>
      <c r="O83" s="6">
        <f t="shared" si="8"/>
        <v>384592.86</v>
      </c>
    </row>
    <row r="84" spans="1:15" x14ac:dyDescent="0.3">
      <c r="A84" s="3" t="s">
        <v>91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3">
      <c r="A85" s="3" t="s">
        <v>92</v>
      </c>
      <c r="B85" s="4"/>
      <c r="C85" s="4"/>
      <c r="D85" s="5">
        <f t="shared" ref="D85:D91" si="12">(B85)+(C85)</f>
        <v>0</v>
      </c>
      <c r="E85" s="4"/>
      <c r="F85" s="4"/>
      <c r="G85" s="4"/>
      <c r="H85" s="4"/>
      <c r="I85" s="4"/>
      <c r="J85" s="4"/>
      <c r="K85" s="5">
        <f t="shared" ref="K85:K91" si="13">(((((E85)+(F85))+(G85))+(H85))+(I85))+(J85)</f>
        <v>0</v>
      </c>
      <c r="L85" s="5">
        <f>181000.11</f>
        <v>181000.11</v>
      </c>
      <c r="M85" s="4"/>
      <c r="N85" s="4"/>
      <c r="O85" s="12">
        <f t="shared" ref="O85:O91" si="14">((((D85)+(K85))+(L85))+(M85))+(N85)</f>
        <v>181000.11</v>
      </c>
    </row>
    <row r="86" spans="1:15" x14ac:dyDescent="0.3">
      <c r="A86" s="3" t="s">
        <v>93</v>
      </c>
      <c r="B86" s="4"/>
      <c r="C86" s="4"/>
      <c r="D86" s="5">
        <f t="shared" si="12"/>
        <v>0</v>
      </c>
      <c r="E86" s="4"/>
      <c r="F86" s="4"/>
      <c r="G86" s="4"/>
      <c r="H86" s="4"/>
      <c r="I86" s="4"/>
      <c r="J86" s="4"/>
      <c r="K86" s="5">
        <f t="shared" si="13"/>
        <v>0</v>
      </c>
      <c r="L86" s="4"/>
      <c r="M86" s="4"/>
      <c r="N86" s="4"/>
      <c r="O86" s="5">
        <f t="shared" si="14"/>
        <v>0</v>
      </c>
    </row>
    <row r="87" spans="1:15" x14ac:dyDescent="0.3">
      <c r="A87" s="3" t="s">
        <v>94</v>
      </c>
      <c r="B87" s="4"/>
      <c r="C87" s="5">
        <f>38740.11</f>
        <v>38740.11</v>
      </c>
      <c r="D87" s="5">
        <f t="shared" si="12"/>
        <v>38740.11</v>
      </c>
      <c r="E87" s="4"/>
      <c r="F87" s="4"/>
      <c r="G87" s="4"/>
      <c r="H87" s="4"/>
      <c r="I87" s="4"/>
      <c r="J87" s="4"/>
      <c r="K87" s="5">
        <f t="shared" si="13"/>
        <v>0</v>
      </c>
      <c r="L87" s="4"/>
      <c r="M87" s="4"/>
      <c r="N87" s="4"/>
      <c r="O87" s="5">
        <f t="shared" si="14"/>
        <v>38740.11</v>
      </c>
    </row>
    <row r="88" spans="1:15" x14ac:dyDescent="0.3">
      <c r="A88" s="3" t="s">
        <v>95</v>
      </c>
      <c r="B88" s="4"/>
      <c r="C88" s="5">
        <f>20000</f>
        <v>20000</v>
      </c>
      <c r="D88" s="5">
        <f t="shared" si="12"/>
        <v>20000</v>
      </c>
      <c r="E88" s="5">
        <f>-20000</f>
        <v>-20000</v>
      </c>
      <c r="F88" s="4"/>
      <c r="G88" s="4"/>
      <c r="H88" s="4"/>
      <c r="I88" s="4"/>
      <c r="J88" s="4"/>
      <c r="K88" s="5">
        <f t="shared" si="13"/>
        <v>-20000</v>
      </c>
      <c r="L88" s="4"/>
      <c r="M88" s="4"/>
      <c r="N88" s="4"/>
      <c r="O88" s="5">
        <f t="shared" si="14"/>
        <v>0</v>
      </c>
    </row>
    <row r="89" spans="1:15" x14ac:dyDescent="0.3">
      <c r="A89" s="3" t="s">
        <v>96</v>
      </c>
      <c r="B89" s="4"/>
      <c r="C89" s="4"/>
      <c r="D89" s="5">
        <f t="shared" si="12"/>
        <v>0</v>
      </c>
      <c r="E89" s="4"/>
      <c r="F89" s="4"/>
      <c r="G89" s="4"/>
      <c r="H89" s="4"/>
      <c r="I89" s="4"/>
      <c r="J89" s="4"/>
      <c r="K89" s="5">
        <f t="shared" si="13"/>
        <v>0</v>
      </c>
      <c r="L89" s="4"/>
      <c r="M89" s="5">
        <f>40000</f>
        <v>40000</v>
      </c>
      <c r="N89" s="5">
        <f>2374.86</f>
        <v>2374.86</v>
      </c>
      <c r="O89" s="5">
        <f t="shared" si="14"/>
        <v>42374.86</v>
      </c>
    </row>
    <row r="90" spans="1:15" x14ac:dyDescent="0.3">
      <c r="A90" s="3" t="s">
        <v>89</v>
      </c>
      <c r="B90" s="4"/>
      <c r="C90" s="4"/>
      <c r="D90" s="5">
        <f t="shared" si="12"/>
        <v>0</v>
      </c>
      <c r="E90" s="4"/>
      <c r="F90" s="4"/>
      <c r="G90" s="4"/>
      <c r="H90" s="4"/>
      <c r="I90" s="4"/>
      <c r="J90" s="4"/>
      <c r="K90" s="5">
        <f t="shared" si="13"/>
        <v>0</v>
      </c>
      <c r="L90" s="4"/>
      <c r="M90" s="4"/>
      <c r="N90" s="4"/>
      <c r="O90" s="5">
        <f t="shared" si="14"/>
        <v>0</v>
      </c>
    </row>
    <row r="91" spans="1:15" x14ac:dyDescent="0.3">
      <c r="A91" s="3" t="s">
        <v>97</v>
      </c>
      <c r="B91" s="6">
        <f>(((((B85)+(B86))+(B87))+(B88))+(B89))+(B90)</f>
        <v>0</v>
      </c>
      <c r="C91" s="6">
        <f>(((((C85)+(C86))+(C87))+(C88))+(C89))+(C90)</f>
        <v>58740.11</v>
      </c>
      <c r="D91" s="6">
        <f t="shared" si="12"/>
        <v>58740.11</v>
      </c>
      <c r="E91" s="6">
        <f t="shared" ref="E91:J91" si="15">(((((E85)+(E86))+(E87))+(E88))+(E89))+(E90)</f>
        <v>-20000</v>
      </c>
      <c r="F91" s="6">
        <f t="shared" si="15"/>
        <v>0</v>
      </c>
      <c r="G91" s="6">
        <f t="shared" si="15"/>
        <v>0</v>
      </c>
      <c r="H91" s="6">
        <f t="shared" si="15"/>
        <v>0</v>
      </c>
      <c r="I91" s="6">
        <f t="shared" si="15"/>
        <v>0</v>
      </c>
      <c r="J91" s="6">
        <f t="shared" si="15"/>
        <v>0</v>
      </c>
      <c r="K91" s="6">
        <f t="shared" si="13"/>
        <v>-20000</v>
      </c>
      <c r="L91" s="6">
        <f>(((((L85)+(L86))+(L87))+(L88))+(L89))+(L90)</f>
        <v>181000.11</v>
      </c>
      <c r="M91" s="6">
        <f>(((((M85)+(M86))+(M87))+(M88))+(M89))+(M90)</f>
        <v>40000</v>
      </c>
      <c r="N91" s="6">
        <f>(((((N85)+(N86))+(N87))+(N88))+(N89))+(N90)</f>
        <v>2374.86</v>
      </c>
      <c r="O91" s="6">
        <f t="shared" si="14"/>
        <v>262115.07999999996</v>
      </c>
    </row>
    <row r="92" spans="1:15" x14ac:dyDescent="0.3">
      <c r="A92" s="3" t="s">
        <v>98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x14ac:dyDescent="0.3">
      <c r="A93" s="3" t="s">
        <v>99</v>
      </c>
      <c r="B93" s="4"/>
      <c r="C93" s="4"/>
      <c r="D93" s="5">
        <f t="shared" ref="D93:D101" si="16">(B93)+(C93)</f>
        <v>0</v>
      </c>
      <c r="E93" s="5">
        <f>-2508.24</f>
        <v>-2508.2399999999998</v>
      </c>
      <c r="F93" s="4"/>
      <c r="G93" s="4"/>
      <c r="H93" s="4"/>
      <c r="I93" s="4"/>
      <c r="J93" s="4"/>
      <c r="K93" s="5">
        <f t="shared" ref="K93:K101" si="17">(((((E93)+(F93))+(G93))+(H93))+(I93))+(J93)</f>
        <v>-2508.2399999999998</v>
      </c>
      <c r="L93" s="4"/>
      <c r="M93" s="5">
        <f>-20000</f>
        <v>-20000</v>
      </c>
      <c r="N93" s="4"/>
      <c r="O93" s="5">
        <f t="shared" ref="O93:O101" si="18">((((D93)+(K93))+(L93))+(M93))+(N93)</f>
        <v>-22508.239999999998</v>
      </c>
    </row>
    <row r="94" spans="1:15" x14ac:dyDescent="0.3">
      <c r="A94" s="3" t="s">
        <v>100</v>
      </c>
      <c r="B94" s="4"/>
      <c r="C94" s="4"/>
      <c r="D94" s="5">
        <f t="shared" si="16"/>
        <v>0</v>
      </c>
      <c r="E94" s="4"/>
      <c r="F94" s="4"/>
      <c r="G94" s="4"/>
      <c r="H94" s="4"/>
      <c r="I94" s="4"/>
      <c r="J94" s="4"/>
      <c r="K94" s="5">
        <f t="shared" si="17"/>
        <v>0</v>
      </c>
      <c r="L94" s="4"/>
      <c r="M94" s="4"/>
      <c r="N94" s="4"/>
      <c r="O94" s="5">
        <f t="shared" si="18"/>
        <v>0</v>
      </c>
    </row>
    <row r="95" spans="1:15" x14ac:dyDescent="0.3">
      <c r="A95" s="3" t="s">
        <v>101</v>
      </c>
      <c r="B95" s="4"/>
      <c r="C95" s="4"/>
      <c r="D95" s="5">
        <f t="shared" si="16"/>
        <v>0</v>
      </c>
      <c r="E95" s="5">
        <f>2508.24</f>
        <v>2508.2399999999998</v>
      </c>
      <c r="F95" s="4"/>
      <c r="G95" s="4"/>
      <c r="H95" s="4"/>
      <c r="I95" s="4"/>
      <c r="J95" s="4"/>
      <c r="K95" s="5">
        <f t="shared" si="17"/>
        <v>2508.2399999999998</v>
      </c>
      <c r="L95" s="4"/>
      <c r="M95" s="5">
        <f>20000</f>
        <v>20000</v>
      </c>
      <c r="N95" s="4"/>
      <c r="O95" s="5">
        <f t="shared" si="18"/>
        <v>22508.239999999998</v>
      </c>
    </row>
    <row r="96" spans="1:15" x14ac:dyDescent="0.3">
      <c r="A96" s="3" t="s">
        <v>102</v>
      </c>
      <c r="B96" s="4"/>
      <c r="C96" s="5">
        <f>44754</f>
        <v>44754</v>
      </c>
      <c r="D96" s="5">
        <f t="shared" si="16"/>
        <v>44754</v>
      </c>
      <c r="E96" s="4"/>
      <c r="F96" s="5">
        <f>3143.3</f>
        <v>3143.3</v>
      </c>
      <c r="G96" s="4"/>
      <c r="H96" s="4"/>
      <c r="I96" s="4"/>
      <c r="J96" s="4"/>
      <c r="K96" s="5">
        <f t="shared" si="17"/>
        <v>3143.3</v>
      </c>
      <c r="L96" s="4"/>
      <c r="M96" s="5">
        <f>13439.57</f>
        <v>13439.57</v>
      </c>
      <c r="N96" s="5">
        <f>7650</f>
        <v>7650</v>
      </c>
      <c r="O96" s="5">
        <f t="shared" si="18"/>
        <v>68986.87</v>
      </c>
    </row>
    <row r="97" spans="1:15" x14ac:dyDescent="0.3">
      <c r="A97" s="3" t="s">
        <v>103</v>
      </c>
      <c r="B97" s="4"/>
      <c r="C97" s="4"/>
      <c r="D97" s="5">
        <f t="shared" si="16"/>
        <v>0</v>
      </c>
      <c r="E97" s="4"/>
      <c r="F97" s="4"/>
      <c r="G97" s="4"/>
      <c r="H97" s="4"/>
      <c r="I97" s="4"/>
      <c r="J97" s="4"/>
      <c r="K97" s="5">
        <f t="shared" si="17"/>
        <v>0</v>
      </c>
      <c r="L97" s="4"/>
      <c r="M97" s="4"/>
      <c r="N97" s="4"/>
      <c r="O97" s="5">
        <f t="shared" si="18"/>
        <v>0</v>
      </c>
    </row>
    <row r="98" spans="1:15" x14ac:dyDescent="0.3">
      <c r="A98" s="3" t="s">
        <v>104</v>
      </c>
      <c r="B98" s="4"/>
      <c r="C98" s="4"/>
      <c r="D98" s="5">
        <f t="shared" si="16"/>
        <v>0</v>
      </c>
      <c r="E98" s="4"/>
      <c r="F98" s="4"/>
      <c r="G98" s="4"/>
      <c r="H98" s="4"/>
      <c r="I98" s="4"/>
      <c r="J98" s="4"/>
      <c r="K98" s="5">
        <f t="shared" si="17"/>
        <v>0</v>
      </c>
      <c r="L98" s="4"/>
      <c r="M98" s="4"/>
      <c r="N98" s="4"/>
      <c r="O98" s="5">
        <f t="shared" si="18"/>
        <v>0</v>
      </c>
    </row>
    <row r="99" spans="1:15" x14ac:dyDescent="0.3">
      <c r="A99" s="3" t="s">
        <v>89</v>
      </c>
      <c r="B99" s="4"/>
      <c r="C99" s="4"/>
      <c r="D99" s="5">
        <f t="shared" si="16"/>
        <v>0</v>
      </c>
      <c r="E99" s="4"/>
      <c r="F99" s="4"/>
      <c r="G99" s="4"/>
      <c r="H99" s="4"/>
      <c r="I99" s="4"/>
      <c r="J99" s="4"/>
      <c r="K99" s="5">
        <f t="shared" si="17"/>
        <v>0</v>
      </c>
      <c r="L99" s="4"/>
      <c r="M99" s="4"/>
      <c r="N99" s="4"/>
      <c r="O99" s="5">
        <f t="shared" si="18"/>
        <v>0</v>
      </c>
    </row>
    <row r="100" spans="1:15" x14ac:dyDescent="0.3">
      <c r="A100" s="3" t="s">
        <v>105</v>
      </c>
      <c r="B100" s="6">
        <f>((((((B93)+(B94))+(B95))+(B96))+(B97))+(B98))+(B99)</f>
        <v>0</v>
      </c>
      <c r="C100" s="6">
        <f>((((((C93)+(C94))+(C95))+(C96))+(C97))+(C98))+(C99)</f>
        <v>44754</v>
      </c>
      <c r="D100" s="6">
        <f t="shared" si="16"/>
        <v>44754</v>
      </c>
      <c r="E100" s="6">
        <f t="shared" ref="E100:J100" si="19">((((((E93)+(E94))+(E95))+(E96))+(E97))+(E98))+(E99)</f>
        <v>0</v>
      </c>
      <c r="F100" s="6">
        <f t="shared" si="19"/>
        <v>3143.3</v>
      </c>
      <c r="G100" s="6">
        <f t="shared" si="19"/>
        <v>0</v>
      </c>
      <c r="H100" s="6">
        <f t="shared" si="19"/>
        <v>0</v>
      </c>
      <c r="I100" s="6">
        <f t="shared" si="19"/>
        <v>0</v>
      </c>
      <c r="J100" s="6">
        <f t="shared" si="19"/>
        <v>0</v>
      </c>
      <c r="K100" s="6">
        <f t="shared" si="17"/>
        <v>3143.3</v>
      </c>
      <c r="L100" s="6">
        <f>((((((L93)+(L94))+(L95))+(L96))+(L97))+(L98))+(L99)</f>
        <v>0</v>
      </c>
      <c r="M100" s="6">
        <f>((((((M93)+(M94))+(M95))+(M96))+(M97))+(M98))+(M99)</f>
        <v>13439.57</v>
      </c>
      <c r="N100" s="6">
        <f>((((((N93)+(N94))+(N95))+(N96))+(N97))+(N98))+(N99)</f>
        <v>7650</v>
      </c>
      <c r="O100" s="6">
        <f t="shared" si="18"/>
        <v>68986.87</v>
      </c>
    </row>
    <row r="101" spans="1:15" x14ac:dyDescent="0.3">
      <c r="A101" s="3" t="s">
        <v>106</v>
      </c>
      <c r="B101" s="7">
        <f>(((B36)-(B83))+(B91))-(B100)</f>
        <v>0</v>
      </c>
      <c r="C101" s="7">
        <f>(((C36)-(C83))+(C91))-(C100)</f>
        <v>-452.65000000000146</v>
      </c>
      <c r="D101" s="7">
        <f t="shared" si="16"/>
        <v>-452.65000000000146</v>
      </c>
      <c r="E101" s="7">
        <f t="shared" ref="E101:J101" si="20">(((E36)-(E83))+(E91))-(E100)</f>
        <v>-29080.400000000001</v>
      </c>
      <c r="F101" s="7">
        <f t="shared" si="20"/>
        <v>-2613.300000000002</v>
      </c>
      <c r="G101" s="7">
        <f t="shared" si="20"/>
        <v>-19603.09</v>
      </c>
      <c r="H101" s="7">
        <f t="shared" si="20"/>
        <v>-87</v>
      </c>
      <c r="I101" s="7">
        <f t="shared" si="20"/>
        <v>-1303.25</v>
      </c>
      <c r="J101" s="7">
        <f t="shared" si="20"/>
        <v>51915.310000000012</v>
      </c>
      <c r="K101" s="7">
        <f t="shared" si="17"/>
        <v>-771.72999999999593</v>
      </c>
      <c r="L101" s="7">
        <f>(((L36)-(L83))+(L91))-(L100)</f>
        <v>180157.38999999998</v>
      </c>
      <c r="M101" s="7">
        <f>(((M36)-(M83))+(M91))-(M100)</f>
        <v>6977.8900000000212</v>
      </c>
      <c r="N101" s="7">
        <f>(((N36)-(N83))+(N91))-(N100)</f>
        <v>2374.8600000000006</v>
      </c>
      <c r="O101" s="15">
        <f t="shared" si="18"/>
        <v>188285.76</v>
      </c>
    </row>
    <row r="102" spans="1:15" ht="15.6" x14ac:dyDescent="0.3">
      <c r="A102" s="3"/>
      <c r="B102" s="4"/>
      <c r="C102" s="4"/>
      <c r="D102" s="4"/>
      <c r="E102" s="4"/>
      <c r="F102" s="4"/>
      <c r="G102" s="4"/>
      <c r="H102" s="4"/>
      <c r="I102" s="13" t="s">
        <v>110</v>
      </c>
      <c r="J102" s="14"/>
      <c r="K102" s="14"/>
      <c r="L102" s="14"/>
      <c r="M102" s="14"/>
      <c r="N102" s="14"/>
      <c r="O102" s="17">
        <f>O85</f>
        <v>181000.11</v>
      </c>
    </row>
    <row r="103" spans="1:15" x14ac:dyDescent="0.3">
      <c r="M103" s="16" t="s">
        <v>111</v>
      </c>
      <c r="N103" s="16"/>
      <c r="O103" s="18">
        <f>O101-O102</f>
        <v>7285.6500000000233</v>
      </c>
    </row>
    <row r="105" spans="1:15" x14ac:dyDescent="0.3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</sheetData>
  <mergeCells count="6">
    <mergeCell ref="A105:O105"/>
    <mergeCell ref="A1:O1"/>
    <mergeCell ref="A2:O2"/>
    <mergeCell ref="A3:O3"/>
    <mergeCell ref="M103:N103"/>
    <mergeCell ref="I102:N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by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Financial Manager</cp:lastModifiedBy>
  <dcterms:created xsi:type="dcterms:W3CDTF">2025-03-23T00:05:44Z</dcterms:created>
  <dcterms:modified xsi:type="dcterms:W3CDTF">2025-03-23T01:10:30Z</dcterms:modified>
</cp:coreProperties>
</file>